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6630" tabRatio="538" activeTab="0"/>
  </bookViews>
  <sheets>
    <sheet name="Pbssp 2021" sheetId="1" r:id="rId1"/>
  </sheets>
  <definedNames>
    <definedName name="_xlnm._FilterDatabase" localSheetId="0" hidden="1">'Pbssp 2021'!$A$7:$J$269</definedName>
    <definedName name="_GoBack" localSheetId="0">NA()</definedName>
    <definedName name="_xlnm__FilterDatabase" localSheetId="0">'Pbssp 2021'!$A$7:$J$269</definedName>
    <definedName name="_xlnm_Print_Area" localSheetId="0">'Pbssp 2021'!$A:$J</definedName>
  </definedNames>
  <calcPr fullCalcOnLoad="1"/>
</workbook>
</file>

<file path=xl/sharedStrings.xml><?xml version="1.0" encoding="utf-8"?>
<sst xmlns="http://schemas.openxmlformats.org/spreadsheetml/2006/main" count="1137" uniqueCount="666">
  <si>
    <t>Załącznik nr 1</t>
  </si>
  <si>
    <t>Podział kosztów wg źródeł finansowania</t>
  </si>
  <si>
    <t>Lp.</t>
  </si>
  <si>
    <t>Symbol badania</t>
  </si>
  <si>
    <t>Temat badania</t>
  </si>
  <si>
    <t>Rodzaj badania</t>
  </si>
  <si>
    <t>Prowadzący badanie</t>
  </si>
  <si>
    <t>Koszty badań finansowane z budżetu:</t>
  </si>
  <si>
    <t>GUS</t>
  </si>
  <si>
    <t>naczelnych i centralnych organów administracji rządowej  oraz pozostałych jednostek sektora i spoza sektora finansów publicznych</t>
  </si>
  <si>
    <t>państwa</t>
  </si>
  <si>
    <t>pozostałych jednostek:</t>
  </si>
  <si>
    <t>należących do sektora finansów publicznych</t>
  </si>
  <si>
    <t>nienależących do sektora finansów publicznych</t>
  </si>
  <si>
    <t>1.01.01</t>
  </si>
  <si>
    <t>Warunki naturalne (geografia, hydrografia, meteorologia)</t>
  </si>
  <si>
    <t>Badanie stałe</t>
  </si>
  <si>
    <t>Zasoby i zmiany w wykorzystaniu powierzchni ziemi, zagrożenie i ochrona gruntów</t>
  </si>
  <si>
    <t>Zasoby leśne</t>
  </si>
  <si>
    <t>1.01.04</t>
  </si>
  <si>
    <t>Zasoby, zmiany i wykorzystanie surowców mineralnych (kopalin)</t>
  </si>
  <si>
    <t>1.01.05</t>
  </si>
  <si>
    <t>Zasoby, wykorzystanie, zanieczyszczenie i ochrona wód</t>
  </si>
  <si>
    <t>1.01.06</t>
  </si>
  <si>
    <t>Zanieczyszczenie i ochrona powietrza</t>
  </si>
  <si>
    <t>1.01.07</t>
  </si>
  <si>
    <t>Ochrona przyrody, krajobrazu i różnorodności biologicznej</t>
  </si>
  <si>
    <t>1.01.08</t>
  </si>
  <si>
    <t>Odpady</t>
  </si>
  <si>
    <t>1.01.09</t>
  </si>
  <si>
    <t>Promieniowanie jonizujące i niejonizujące. Hałas</t>
  </si>
  <si>
    <t>1.01.12</t>
  </si>
  <si>
    <t>Ekonomiczne aspekty ochrony środowiska</t>
  </si>
  <si>
    <t>1.01.14</t>
  </si>
  <si>
    <t>Ogólnogospodarcze rachunki przepływów materialnych</t>
  </si>
  <si>
    <t>1.01.16</t>
  </si>
  <si>
    <t>Rachunki emisji do powietrza</t>
  </si>
  <si>
    <t>1.01.17</t>
  </si>
  <si>
    <t>Podatki związane ze środowiskiem</t>
  </si>
  <si>
    <t>1.02.01</t>
  </si>
  <si>
    <t>Organy państwa</t>
  </si>
  <si>
    <t>1.02.02</t>
  </si>
  <si>
    <t>1.02.03</t>
  </si>
  <si>
    <t>Grunty komunalne</t>
  </si>
  <si>
    <t>1.02.04</t>
  </si>
  <si>
    <t>Lokalne planowanie i zagospodarowanie przestrzenne</t>
  </si>
  <si>
    <t>1.02.05</t>
  </si>
  <si>
    <t>GUGiK</t>
  </si>
  <si>
    <t>1.03.01</t>
  </si>
  <si>
    <t>Sprawy rozpatrywane w wymiarze sprawiedliwości</t>
  </si>
  <si>
    <t>MS, PK</t>
  </si>
  <si>
    <t>1.03.02</t>
  </si>
  <si>
    <t>Orzeczenia sądów pierwszej instancji i prawomocne osądzenia osób pełnoletnich w sprawach karnych i wykroczeniowych, orzeczenia w sprawach nieletnich oraz o podmiotach zbiorowych</t>
  </si>
  <si>
    <t>MS</t>
  </si>
  <si>
    <t>1.03.03</t>
  </si>
  <si>
    <t>Przestępczość. Wymiar sprawiedliwości</t>
  </si>
  <si>
    <t>1.03.04</t>
  </si>
  <si>
    <t>Wykonywanie orzeczeń sądowych przez zakłady karne, sądy i zakłady dla nieletnich; areszty śledcze</t>
  </si>
  <si>
    <t>1.03.05</t>
  </si>
  <si>
    <t>Zatrudnienie i wynagrodzenia pracowników wymiaru sprawiedliwości</t>
  </si>
  <si>
    <t>1.03.06</t>
  </si>
  <si>
    <t>Działalność służb ratowniczych</t>
  </si>
  <si>
    <t>1.04.01</t>
  </si>
  <si>
    <t>Stowarzyszenia, fundacje, samorząd gospodarczy i zawodowy oraz społeczne jednostki wyznaniowe</t>
  </si>
  <si>
    <t>1.04.04</t>
  </si>
  <si>
    <t>Kapitał Ludzki</t>
  </si>
  <si>
    <t>1.04.07</t>
  </si>
  <si>
    <t>Jednostki reintegracji społeczno-zawodowej: centra integracji społecznej, kluby integracji społecznej, warsztaty terapii zajęciowej, zakłady aktywności zawodowej</t>
  </si>
  <si>
    <t>1.20.01</t>
  </si>
  <si>
    <t>Rodziny w Polsce</t>
  </si>
  <si>
    <t>1.20.03</t>
  </si>
  <si>
    <t>Świadczenia na rzecz rodziny</t>
  </si>
  <si>
    <t>1.20.04</t>
  </si>
  <si>
    <t>Wspieranie rodziny i system pieczy zastępczej</t>
  </si>
  <si>
    <t>1.20.05</t>
  </si>
  <si>
    <t>Żłobki i kluby dziecięce</t>
  </si>
  <si>
    <t>1.20.06</t>
  </si>
  <si>
    <t>1.21.01</t>
  </si>
  <si>
    <t>Urodzenia. Dzietność</t>
  </si>
  <si>
    <t>1.21.02</t>
  </si>
  <si>
    <t>Małżeństwa. Rozwody. Separacje</t>
  </si>
  <si>
    <t>1.21.03</t>
  </si>
  <si>
    <t>Migracje wewnętrzne ludności</t>
  </si>
  <si>
    <t>1.21.04</t>
  </si>
  <si>
    <t>Migracje zagraniczne ludności</t>
  </si>
  <si>
    <t>1.21.07</t>
  </si>
  <si>
    <t>Bilanse stanu i struktury ludności według cech demograficznych</t>
  </si>
  <si>
    <t>1.21.09</t>
  </si>
  <si>
    <t>Zgony. Umieralność. Trwanie życia</t>
  </si>
  <si>
    <t>1.21.10</t>
  </si>
  <si>
    <t>Charakterystyka społeczno-demograficzna i ekonomiczna ludności i gospodarstw domowych</t>
  </si>
  <si>
    <t>1.21.11</t>
  </si>
  <si>
    <t>Prognozy demograficzne</t>
  </si>
  <si>
    <t>1.21.14</t>
  </si>
  <si>
    <t>Zasoby migracyjne</t>
  </si>
  <si>
    <t>1.21.15</t>
  </si>
  <si>
    <t>Polacy i Polonia na świecie</t>
  </si>
  <si>
    <t>1.22.01</t>
  </si>
  <si>
    <t>Wyznania religijne w Polsce</t>
  </si>
  <si>
    <t>1.22.07</t>
  </si>
  <si>
    <t>Statystyka obrządków Kościoła katolickiego w Polsce</t>
  </si>
  <si>
    <t>1.23.01</t>
  </si>
  <si>
    <t>Badanie aktywności ekonomicznej ludności (BAEL)</t>
  </si>
  <si>
    <t>1.23.02</t>
  </si>
  <si>
    <t>Pracujący w gospodarce narodowej</t>
  </si>
  <si>
    <t>1.23.04</t>
  </si>
  <si>
    <t>Zatrudnienie, wydatki na wynagrodzenia w państwowej sferze budżetowej</t>
  </si>
  <si>
    <t>1.23.06</t>
  </si>
  <si>
    <t>Bezrobotni i poszukujący pracy zarejestrowani w urzędach pracy</t>
  </si>
  <si>
    <t>1.23.07</t>
  </si>
  <si>
    <t>Popyt na pracę</t>
  </si>
  <si>
    <t>1.23.09</t>
  </si>
  <si>
    <t>Warunki pracy</t>
  </si>
  <si>
    <t>1.23.10</t>
  </si>
  <si>
    <t>Wypadki przy pracy</t>
  </si>
  <si>
    <t>1.23.11</t>
  </si>
  <si>
    <t>1.23.13</t>
  </si>
  <si>
    <t>Czas pracy</t>
  </si>
  <si>
    <t>1.23.26</t>
  </si>
  <si>
    <t>Osoby powyżej 50. roku życia na rynku pracy</t>
  </si>
  <si>
    <t>1.24.01</t>
  </si>
  <si>
    <t>Wynagrodzenia w gospodarce narodowej</t>
  </si>
  <si>
    <t>1.24.03</t>
  </si>
  <si>
    <t>Świadczenia z ubezpieczeń społecznych i pozaubezpieczeniowe</t>
  </si>
  <si>
    <t>1.24.04</t>
  </si>
  <si>
    <t>Koszty pracy i indeks kosztów zatrudnienia</t>
  </si>
  <si>
    <t>1.25.01</t>
  </si>
  <si>
    <t>Budżety gospodarstw domowych</t>
  </si>
  <si>
    <t>1.25.02</t>
  </si>
  <si>
    <t>Kondycja gospodarstw domowych (postawy konsumentów)</t>
  </si>
  <si>
    <t>1.25.07</t>
  </si>
  <si>
    <t>Pomoc społeczna</t>
  </si>
  <si>
    <t>1.25.08</t>
  </si>
  <si>
    <t>Europejskie badanie warunków życia ludności (EU-SILC)</t>
  </si>
  <si>
    <t>1.25.09</t>
  </si>
  <si>
    <t>Procesy inflacyjne a oszczędzanie i konsumpcja w gospodarstwach domowych</t>
  </si>
  <si>
    <t>NBP</t>
  </si>
  <si>
    <t>1.25.11</t>
  </si>
  <si>
    <t>Beneficjenci środowiskowej pomocy społecznej</t>
  </si>
  <si>
    <t>1.25.12</t>
  </si>
  <si>
    <t>Zjawisko ubóstwa oraz procesy wykluczenia społecznego</t>
  </si>
  <si>
    <t>1.26.01</t>
  </si>
  <si>
    <t>Gospodarowanie zasobami mieszkaniowymi</t>
  </si>
  <si>
    <t>1.26.04</t>
  </si>
  <si>
    <t>Obrót nieruchomościami</t>
  </si>
  <si>
    <t>1.26.06</t>
  </si>
  <si>
    <t>Infrastruktura techniczna sieci wodociągowych i kanalizacyjnych, ciepłowniczych, gazu z sieci oraz energii elektrycznej</t>
  </si>
  <si>
    <t>1.26.09</t>
  </si>
  <si>
    <t>Badanie cen nieruchomości mieszkaniowych, gruntowych i komercyjnych</t>
  </si>
  <si>
    <t>1.26.10</t>
  </si>
  <si>
    <t>Charakterystyka zasobów budynkowych</t>
  </si>
  <si>
    <t>1.27.01</t>
  </si>
  <si>
    <t>1.27.05</t>
  </si>
  <si>
    <t>1.28.01</t>
  </si>
  <si>
    <t>1.28.02</t>
  </si>
  <si>
    <t>Działalność w zakresie kinematografii</t>
  </si>
  <si>
    <t>1.28.03</t>
  </si>
  <si>
    <t>Środki komunikacji masowej</t>
  </si>
  <si>
    <t>1.28.05</t>
  </si>
  <si>
    <t>Działalność archiwalna</t>
  </si>
  <si>
    <t>1.28.08</t>
  </si>
  <si>
    <t>Masowe imprezy artystyczno-rozrywkowe oraz sportowe</t>
  </si>
  <si>
    <t>1.28.09</t>
  </si>
  <si>
    <t>Rynek dzieł sztuki</t>
  </si>
  <si>
    <t>1.28.10</t>
  </si>
  <si>
    <t>Badanie finansów instytucji kultury</t>
  </si>
  <si>
    <t>1.29.01</t>
  </si>
  <si>
    <t>1.29.02</t>
  </si>
  <si>
    <t>Zachorowania i leczeni na wybrane choroby</t>
  </si>
  <si>
    <t>1.29.03</t>
  </si>
  <si>
    <t>Hospitalizacja</t>
  </si>
  <si>
    <t>MZ</t>
  </si>
  <si>
    <t>1.29.04</t>
  </si>
  <si>
    <t>Profilaktyka</t>
  </si>
  <si>
    <t>1.29.05</t>
  </si>
  <si>
    <t>Szczepienia ochronne</t>
  </si>
  <si>
    <t>1.29.06</t>
  </si>
  <si>
    <t>Kadra medyczna ochrony zdrowia</t>
  </si>
  <si>
    <t>1.29.07</t>
  </si>
  <si>
    <t>Infrastruktura ochrony zdrowia i jej funkcjonowanie</t>
  </si>
  <si>
    <t>1.29.09</t>
  </si>
  <si>
    <t>Apteki</t>
  </si>
  <si>
    <t>1.29.14</t>
  </si>
  <si>
    <t>Działalność Państwowej Inspekcji Sanitarnej</t>
  </si>
  <si>
    <t>1.29.16</t>
  </si>
  <si>
    <t>Ekonomiczne aspekty funkcjonowania ochrony zdrowia</t>
  </si>
  <si>
    <t>1.29.17</t>
  </si>
  <si>
    <t>1.29.18</t>
  </si>
  <si>
    <t>Działalność samorządów lokalnych w zakresie profilaktyki i rozwiązywania problemów alkoholowych</t>
  </si>
  <si>
    <t>1.30.01</t>
  </si>
  <si>
    <t>Sport</t>
  </si>
  <si>
    <t>1.30.03</t>
  </si>
  <si>
    <t>Baza noclegowa turystyki i jej wykorzystanie</t>
  </si>
  <si>
    <t>1.30.11</t>
  </si>
  <si>
    <t>Ruch graniczny</t>
  </si>
  <si>
    <t>1.30.16</t>
  </si>
  <si>
    <t>Działalność wybranych organizacji powiązanych z turystyką</t>
  </si>
  <si>
    <t>1.30.17</t>
  </si>
  <si>
    <t>Podróże nierezydentów do Polski. Ruch pojazdów i osób na granicy Polski z krajami Unii Europejskiej</t>
  </si>
  <si>
    <t>1.30.18</t>
  </si>
  <si>
    <t>Uczestnictwo mieszkańców Polski (rezydentów) w podróżach</t>
  </si>
  <si>
    <t>1.43.01</t>
  </si>
  <si>
    <t>Działalność badawcza i rozwojowa (B + R)</t>
  </si>
  <si>
    <t>1.43.05</t>
  </si>
  <si>
    <t>Ochrona własności przemysłowej w Polsce</t>
  </si>
  <si>
    <t>5 000 zł - budżet UP RP</t>
  </si>
  <si>
    <t>1.43.06</t>
  </si>
  <si>
    <t>Produkcja, zatrudnienie i handel zagraniczny w zakresie wysokiej techniki</t>
  </si>
  <si>
    <t>1.43.09</t>
  </si>
  <si>
    <t>Zasoby ludzkie dla nauki i techniki (HRST)</t>
  </si>
  <si>
    <t>1.43.12</t>
  </si>
  <si>
    <t>Biotechnologia</t>
  </si>
  <si>
    <t>1.43.14</t>
  </si>
  <si>
    <t>Wskaźniki społeczeństwa informacyjnego</t>
  </si>
  <si>
    <t>1.43.17</t>
  </si>
  <si>
    <t>Nanotechnologia</t>
  </si>
  <si>
    <t>1.44.01</t>
  </si>
  <si>
    <t>Bilanse paliw i energii</t>
  </si>
  <si>
    <t>1.44.02</t>
  </si>
  <si>
    <t>Elektroenergetyka i ciepłownictwo</t>
  </si>
  <si>
    <t>1.44.03</t>
  </si>
  <si>
    <t>Specjalistyczne badanie statystyczne w zakresie paliw i energii</t>
  </si>
  <si>
    <t>1.44.04</t>
  </si>
  <si>
    <t>Badanie zużycia paliw i energii w gospodarstwach domowych</t>
  </si>
  <si>
    <t>1.44.05</t>
  </si>
  <si>
    <t>Gospodarowanie materiałami</t>
  </si>
  <si>
    <t>1.44.11</t>
  </si>
  <si>
    <t>Paliwa ciekłe i gazowe</t>
  </si>
  <si>
    <t>1.44.16</t>
  </si>
  <si>
    <t>Górnictwo węgla kamiennego i brunatnego</t>
  </si>
  <si>
    <t>1.45.02</t>
  </si>
  <si>
    <t>Gospodarka ziemią</t>
  </si>
  <si>
    <t>MRiRW</t>
  </si>
  <si>
    <t>1.45.03</t>
  </si>
  <si>
    <t>Użytkowanie gruntów</t>
  </si>
  <si>
    <t>1.45.05</t>
  </si>
  <si>
    <t>Powierzchnia zasiewów</t>
  </si>
  <si>
    <t>1.45.06</t>
  </si>
  <si>
    <t>Okresowe oceny stanu upraw</t>
  </si>
  <si>
    <t>1.45.07</t>
  </si>
  <si>
    <t>Produkcja ważniejszych upraw rolnych</t>
  </si>
  <si>
    <t>1.45.08</t>
  </si>
  <si>
    <t>Produkcja ważniejszych upraw ogrodniczych</t>
  </si>
  <si>
    <t>1.45.09</t>
  </si>
  <si>
    <t>Pogłowie i produkcja bydła oraz innych gatunków zwierząt gospodarskich (bez świń)</t>
  </si>
  <si>
    <t>700 zł – budżet MRiRW</t>
  </si>
  <si>
    <t>1.45.10</t>
  </si>
  <si>
    <t>Pogłowie i produkcja świń</t>
  </si>
  <si>
    <t>1.45.12</t>
  </si>
  <si>
    <t>Skup ważniejszych produktów rolnych i leśnych</t>
  </si>
  <si>
    <t>1.45.13</t>
  </si>
  <si>
    <t>Środki produkcji w rolnictwie</t>
  </si>
  <si>
    <t>1.45.15</t>
  </si>
  <si>
    <t>Ochrona roślin</t>
  </si>
  <si>
    <t>1.45.18</t>
  </si>
  <si>
    <t>Syntetyczne mierniki produkcji rolniczej</t>
  </si>
  <si>
    <t>1.45.19</t>
  </si>
  <si>
    <t>Bilanse produktów rolniczych</t>
  </si>
  <si>
    <t>1.45.20</t>
  </si>
  <si>
    <t>Ocena sytuacji produkcyjno-rynkowej w rolnictwie</t>
  </si>
  <si>
    <t>Zagospodarowanie lasu i zadrzewienia</t>
  </si>
  <si>
    <t>Użytkowanie lasu</t>
  </si>
  <si>
    <t>Działalność gospodarcza Państwowego Gospodarstwa Leśnego Lasy Państwowe</t>
  </si>
  <si>
    <t>Łowiectwo</t>
  </si>
  <si>
    <t>Ekonomiczne aspekty leśnictwa</t>
  </si>
  <si>
    <t>1.45.34</t>
  </si>
  <si>
    <t>Działalność weterynaryjna</t>
  </si>
  <si>
    <t>GIW</t>
  </si>
  <si>
    <t>1.45.37</t>
  </si>
  <si>
    <t>Rachunki ekonomiczne rolnictwa</t>
  </si>
  <si>
    <t>1.45.38</t>
  </si>
  <si>
    <t>Koniunktura w rolnictwie</t>
  </si>
  <si>
    <t>Rachunki środowiskowe i ekonomiczne dla lasów</t>
  </si>
  <si>
    <t>1.46.01</t>
  </si>
  <si>
    <t>Produkcja sprzedana przemysłu</t>
  </si>
  <si>
    <t>1.46.04</t>
  </si>
  <si>
    <t>Produkcja wyrobów przemysłowych</t>
  </si>
  <si>
    <t>1.46.08</t>
  </si>
  <si>
    <t>Specjalistyczne badanie statystyczne w przemyśle koksowniczym</t>
  </si>
  <si>
    <t>1.46.11</t>
  </si>
  <si>
    <t>Obrót i nowe zamówienia w przemyśle</t>
  </si>
  <si>
    <t>1.46.12</t>
  </si>
  <si>
    <t>Skup i produkcja mleka oraz przetworów mlecznych</t>
  </si>
  <si>
    <t>1.46.13</t>
  </si>
  <si>
    <t>Produkcja, zapasy i rozdysponowanie alkoholu etylowego</t>
  </si>
  <si>
    <t>1.47.01</t>
  </si>
  <si>
    <t>Produkcja budowlano-montażowa; koszty w układzie kalkulacyjnym</t>
  </si>
  <si>
    <t>1.47.04</t>
  </si>
  <si>
    <t>Wydane pozwolenia na budowę i zgłoszenia z projektem budowlanym budowy obiektów budowlanych oraz efekty działalności budowlanej</t>
  </si>
  <si>
    <t>1.47.05</t>
  </si>
  <si>
    <t>Obiekty budowlane oddane do użytkowania</t>
  </si>
  <si>
    <t>GUNB</t>
  </si>
  <si>
    <t>1.47.06</t>
  </si>
  <si>
    <t>Nakazy rozbiórki obiektów budowlanych</t>
  </si>
  <si>
    <t>1.48.01</t>
  </si>
  <si>
    <t>Transport kolejowy</t>
  </si>
  <si>
    <t>1.48.02</t>
  </si>
  <si>
    <t>Transport drogowy towarowy i pasażerski</t>
  </si>
  <si>
    <t>1.48.06</t>
  </si>
  <si>
    <t>Poczta</t>
  </si>
  <si>
    <t>1.48.08</t>
  </si>
  <si>
    <t>Transport lotniczy</t>
  </si>
  <si>
    <t>1.48.10</t>
  </si>
  <si>
    <t>Transport rurociągowy</t>
  </si>
  <si>
    <t>1.48.11</t>
  </si>
  <si>
    <t>Wartość usług transportu, poczty i telekomunikacji</t>
  </si>
  <si>
    <t>1.48.13</t>
  </si>
  <si>
    <t>Pojazdy samochodowe i maszyny do wykorzystania na cele obronne</t>
  </si>
  <si>
    <t>MON</t>
  </si>
  <si>
    <t>1.48.15</t>
  </si>
  <si>
    <t>Wypadki drogowe</t>
  </si>
  <si>
    <t>1.48.16</t>
  </si>
  <si>
    <t>Transport intermodalny</t>
  </si>
  <si>
    <t>1.48.17</t>
  </si>
  <si>
    <t>Sieć drogowa i pojazdy samochodowe</t>
  </si>
  <si>
    <t>Telekomunikacja</t>
  </si>
  <si>
    <t>1.49.01</t>
  </si>
  <si>
    <t>Podaż wyrobów i towarów konsumpcyjnych na rynku krajowym</t>
  </si>
  <si>
    <t>1.49.02</t>
  </si>
  <si>
    <t>Obrót, sprzedaż detaliczna i hurtowa oraz infrastruktura handlowa</t>
  </si>
  <si>
    <t>1.49.05</t>
  </si>
  <si>
    <t>Obrót i działalność gastronomiczna</t>
  </si>
  <si>
    <t>1.49.08</t>
  </si>
  <si>
    <t>Ocena przedsiębiorstw świadczących usługi związane z obsługą działalności gospodarczej</t>
  </si>
  <si>
    <t>1.49.09</t>
  </si>
  <si>
    <t>Bieżąca ocena wybranych działalności usługowych</t>
  </si>
  <si>
    <t>1.50.01</t>
  </si>
  <si>
    <t>Transport morski i przybrzeżny</t>
  </si>
  <si>
    <t>1.50.02</t>
  </si>
  <si>
    <t>1.50.03</t>
  </si>
  <si>
    <t>Zatrudnienie i wyniki finansowe w gospodarce morskiej</t>
  </si>
  <si>
    <t>1.50.04</t>
  </si>
  <si>
    <t>Wypadki morskie i ratownictwo morskie</t>
  </si>
  <si>
    <t>1.50.05</t>
  </si>
  <si>
    <t>Ochrona środowiska morskiego</t>
  </si>
  <si>
    <t>1.50.06</t>
  </si>
  <si>
    <t>1.50.07</t>
  </si>
  <si>
    <t>Szkolnictwo morskie i nauka</t>
  </si>
  <si>
    <t>1.50.08</t>
  </si>
  <si>
    <t>Gospodarka rybna</t>
  </si>
  <si>
    <t>1.50.09</t>
  </si>
  <si>
    <t>Transport wodny śródlądowy</t>
  </si>
  <si>
    <t>1.51.01</t>
  </si>
  <si>
    <t>Realizacja eksportu i importu w wyrażeniu ilościowo-wartościowym z krajami spoza UE (niebędącymi członkami UE)</t>
  </si>
  <si>
    <t>1.51.04</t>
  </si>
  <si>
    <t>Badanie porównawcze ze statystykami międzynarodowymi</t>
  </si>
  <si>
    <t>1.51.07</t>
  </si>
  <si>
    <t>Realizacja przywozu i wywozu towarów w wyrażeniu ilościowo-wartościowym z krajami UE</t>
  </si>
  <si>
    <t>1.51.08</t>
  </si>
  <si>
    <t>Realizacja międzynarodowego handlu towarami w wyrażeniu ilościowo-wartościowym</t>
  </si>
  <si>
    <t>1.51.09</t>
  </si>
  <si>
    <t>Międzynarodowy handel usługami</t>
  </si>
  <si>
    <t>1.61.01</t>
  </si>
  <si>
    <t>Bieżące wyniki finansowe i nakłady na środki trwałe przedsiębiorstw oraz aktywa i pasywa finansowe</t>
  </si>
  <si>
    <t>1.61.04</t>
  </si>
  <si>
    <t>Ocena bieżącej działalności gospodarczej przedsiębiorstw</t>
  </si>
  <si>
    <t>1.61.05</t>
  </si>
  <si>
    <t>Roczne badanie działalności gospodarczej przedsiębiorstw</t>
  </si>
  <si>
    <t>1.61.08</t>
  </si>
  <si>
    <t>1.61.10</t>
  </si>
  <si>
    <t>Badanie koniunktury gospodarczej</t>
  </si>
  <si>
    <t>1.61.12</t>
  </si>
  <si>
    <t>Grupy przedsiębiorstw</t>
  </si>
  <si>
    <t>1.61.13</t>
  </si>
  <si>
    <t>Instrumenty finansowe przedsiębiorstw niefinansowych</t>
  </si>
  <si>
    <t>1.61.14</t>
  </si>
  <si>
    <t>Wskaźniki przedsiębiorczości</t>
  </si>
  <si>
    <t>1.61.15</t>
  </si>
  <si>
    <t>Podmioty z kapitałem zagranicznym</t>
  </si>
  <si>
    <t>1.61.16</t>
  </si>
  <si>
    <t>Działalność podmiotów posiadających udziały w jednostkach z siedzibą za granicą</t>
  </si>
  <si>
    <t>1.61.17</t>
  </si>
  <si>
    <t>Statystyka strukturalna przedsiębiorstw niefinansowych i jednostek zależnych</t>
  </si>
  <si>
    <t>1.62.02</t>
  </si>
  <si>
    <t>Wyniki finansowe banków</t>
  </si>
  <si>
    <t>1.62.04</t>
  </si>
  <si>
    <t>Wyniki finansowe zakładów ubezpieczeń/reasekuracji</t>
  </si>
  <si>
    <t>1.62.07</t>
  </si>
  <si>
    <t>Wyniki finansowe spółdzielczych kas oszczędnościowo-kredytowych</t>
  </si>
  <si>
    <t>1.62.08</t>
  </si>
  <si>
    <t>Wyniki finansowe funduszy inwestycyjnych</t>
  </si>
  <si>
    <t>1.62.09</t>
  </si>
  <si>
    <t>1.62.11</t>
  </si>
  <si>
    <t>Działalność przedsiębiorstw pośrednictwa kredytowego</t>
  </si>
  <si>
    <t>1.62.12</t>
  </si>
  <si>
    <t>Działalność faktoringowa przedsiębiorstw finansowych</t>
  </si>
  <si>
    <t>1.62.13</t>
  </si>
  <si>
    <t>Działalność przedsiębiorstw leasingowych</t>
  </si>
  <si>
    <t>1.62.16</t>
  </si>
  <si>
    <t>Wyniki finansowe towarzystw funduszy inwestycyjnych</t>
  </si>
  <si>
    <t>1.62.17</t>
  </si>
  <si>
    <t>Pieniądz i zorganizowany rynek instrumentów finansowych</t>
  </si>
  <si>
    <t>1.62.20</t>
  </si>
  <si>
    <t>Działalność przedsiębiorstw windykacyjnych</t>
  </si>
  <si>
    <t>1.64.01</t>
  </si>
  <si>
    <t>Ceny w rolnictwie</t>
  </si>
  <si>
    <t>1.64.03</t>
  </si>
  <si>
    <t>Badanie cen producentów wyrobów i usług w przemyśle, leśnictwie oraz rybactwie</t>
  </si>
  <si>
    <t>1.64.04</t>
  </si>
  <si>
    <t>Krajowe średnie ceny producentów wyrobów spożywczych</t>
  </si>
  <si>
    <t>1.64.05</t>
  </si>
  <si>
    <t>Badanie cen producentów robót i obiektów budowlanych</t>
  </si>
  <si>
    <t>1.64.06</t>
  </si>
  <si>
    <t>Badanie cen robót i obiektów drogowych oraz mostowych</t>
  </si>
  <si>
    <t>1.64.07</t>
  </si>
  <si>
    <t>Badanie cen towarów i usług konsumpcyjnych</t>
  </si>
  <si>
    <t>1.64.08</t>
  </si>
  <si>
    <t>Badanie cen detalicznych środków produkcji rolniczej</t>
  </si>
  <si>
    <t>1.64.09</t>
  </si>
  <si>
    <t>Badanie cen towarów i usług związanych z nabywaniem mieszkań i domów</t>
  </si>
  <si>
    <t>1.64.10</t>
  </si>
  <si>
    <t>Poziomy, dynamika i relacje cen w międzynarodowym handlu towarami</t>
  </si>
  <si>
    <t>1.64.12</t>
  </si>
  <si>
    <t>Wskaźniki inflacji bazowej</t>
  </si>
  <si>
    <t>1.64.14</t>
  </si>
  <si>
    <t>Ceny i inflacja a polityka pieniężna NBP</t>
  </si>
  <si>
    <t>1.64.15</t>
  </si>
  <si>
    <t>Badanie indeksów cen eksportu i importu</t>
  </si>
  <si>
    <t>1.64.16</t>
  </si>
  <si>
    <t>Badanie cen producentów usług</t>
  </si>
  <si>
    <t>1.64.18</t>
  </si>
  <si>
    <t>Stopień sztywności cen w gospodarce polskiej</t>
  </si>
  <si>
    <t>1.64.19</t>
  </si>
  <si>
    <t>Badanie cen nieruchomości mieszkalnych</t>
  </si>
  <si>
    <t>1.65.11</t>
  </si>
  <si>
    <t>Budżety jednostek samorządu terytorialnego</t>
  </si>
  <si>
    <t>1.65.13</t>
  </si>
  <si>
    <t>Statystyka finansów sektora instytucji rządowych i samorządowych</t>
  </si>
  <si>
    <t>1.65.14</t>
  </si>
  <si>
    <t>Dochody podatkowe sektora instytucji rządowych i samorządowych</t>
  </si>
  <si>
    <t>MF</t>
  </si>
  <si>
    <t>1.65.16</t>
  </si>
  <si>
    <t>Dochody i wydatki budżetu państwa</t>
  </si>
  <si>
    <t>1.65.18</t>
  </si>
  <si>
    <t>Państwowe fundusze celowe</t>
  </si>
  <si>
    <t>1.65.19</t>
  </si>
  <si>
    <t>Notyfikacja fiskalna deficytu i długu sektora instytucji rządowych i samorządowych</t>
  </si>
  <si>
    <t>1.65.20</t>
  </si>
  <si>
    <t>Kwartalne rachunki niefinansowe sektora instytucji rządowych i samorządowych</t>
  </si>
  <si>
    <t>1.65.21</t>
  </si>
  <si>
    <t>Kwartalny dług publiczny sektora instytucji rządowych i samorządowych</t>
  </si>
  <si>
    <t>1.65.22</t>
  </si>
  <si>
    <t>Należności, zobowiązania, poręczenia i gwarancje jednostek sektora finansów publicznych</t>
  </si>
  <si>
    <t>1.65.28</t>
  </si>
  <si>
    <t>Rentowność pięcioletnich obligacji Skarbu Państwa</t>
  </si>
  <si>
    <t>1.65.31</t>
  </si>
  <si>
    <t>Dane fiskalne na potrzeby nadzoru budżetowego UE</t>
  </si>
  <si>
    <t>1.66.01</t>
  </si>
  <si>
    <t>Środki trwałe w gospodarce narodowej</t>
  </si>
  <si>
    <t>1.66.02</t>
  </si>
  <si>
    <t>Nakłady na środki trwałe</t>
  </si>
  <si>
    <t>1.67.01</t>
  </si>
  <si>
    <t>Rachunki narodowe niefinansowe według sektorów i podsektorów instytucjonalnych</t>
  </si>
  <si>
    <t>1.67.03</t>
  </si>
  <si>
    <t>Rachunki kwartalne</t>
  </si>
  <si>
    <t>1.67.04</t>
  </si>
  <si>
    <t>Dochody do dyspozycji sektora gospodarstw domowych</t>
  </si>
  <si>
    <t>1.67.05</t>
  </si>
  <si>
    <t>Spożycie indywidualne w gospodarstwach domowych</t>
  </si>
  <si>
    <t>1.67.06</t>
  </si>
  <si>
    <t>Rachunek podaży i wykorzystania wyrobów i usług (przepływów produktowych)</t>
  </si>
  <si>
    <t>1.67.07</t>
  </si>
  <si>
    <t>Produkt krajowy brutto i jego elementy w ujęciu regionalnym</t>
  </si>
  <si>
    <t>1.67.08</t>
  </si>
  <si>
    <t>Badanie rozmiarów gospodarki nieobserwowanej</t>
  </si>
  <si>
    <t>1.67.12</t>
  </si>
  <si>
    <t>Międzynarodowe porównanie produktu krajowego brutto, siły nabywczej walut oraz czynszów najmu mieszkań/domów</t>
  </si>
  <si>
    <t>1.67.14</t>
  </si>
  <si>
    <t>Rachunki finansowe sektora instytucji rządowych i samorządowych</t>
  </si>
  <si>
    <t>1.67.15</t>
  </si>
  <si>
    <t>Rachunki finansowe według sektorów instytucjonalnych</t>
  </si>
  <si>
    <t>1.70.01</t>
  </si>
  <si>
    <t>Zróżnicowanie poziomu i dynamiki rozwoju regionalnego</t>
  </si>
  <si>
    <t>1.70.02</t>
  </si>
  <si>
    <t>Statystyczny system informacyjny o miastach</t>
  </si>
  <si>
    <t>1.70.03</t>
  </si>
  <si>
    <t>Statystyczny system informacyjny obszarów wiejskich</t>
  </si>
  <si>
    <t>1.80.01</t>
  </si>
  <si>
    <t>System Jednostek Statystycznych - operaty</t>
  </si>
  <si>
    <t>1.80.02</t>
  </si>
  <si>
    <t>System Jednostek do Badań Społecznych - operaty</t>
  </si>
  <si>
    <t>1.80.03</t>
  </si>
  <si>
    <t>System Jednostek do Badań Rolniczych - operaty</t>
  </si>
  <si>
    <t>SUMA</t>
  </si>
  <si>
    <t>Samorząd terytorialny</t>
  </si>
  <si>
    <t>1.28.12</t>
  </si>
  <si>
    <t>Przemysły kultury i kreatywne</t>
  </si>
  <si>
    <t>Turystyka morska i przybrzeżna</t>
  </si>
  <si>
    <t>1.52.01</t>
  </si>
  <si>
    <t>1.52.02</t>
  </si>
  <si>
    <t>1.52.03</t>
  </si>
  <si>
    <t>1.52.04</t>
  </si>
  <si>
    <t>1.52.05</t>
  </si>
  <si>
    <t>1.52.06</t>
  </si>
  <si>
    <t>1.52.07</t>
  </si>
  <si>
    <t>1.61.18</t>
  </si>
  <si>
    <t>Globalne łańcuchy wartości</t>
  </si>
  <si>
    <t>Badanie nowe stałe</t>
  </si>
  <si>
    <t xml:space="preserve"> 5 000 zł – budżet MRiRW</t>
  </si>
  <si>
    <t xml:space="preserve"> 2 880 zł – budżet MRiRW</t>
  </si>
  <si>
    <t>80 000 zł - budżet NBP</t>
  </si>
  <si>
    <t>48 000 zł - budżet NBP</t>
  </si>
  <si>
    <t>42 000 zł – środki własne Dyrekcji Generalnej Lasów Państwowych</t>
  </si>
  <si>
    <t>Strajki. Spory zbiorowe. Zakładowe układy zbiorowe pracy</t>
  </si>
  <si>
    <t>Szkolnictwo wyższe i jego finanse</t>
  </si>
  <si>
    <t>Specjalistyczne badania statystyczne w przemyśle stoczniowym</t>
  </si>
  <si>
    <t>1.28.13</t>
  </si>
  <si>
    <t>Satelitarny rachunek kultury</t>
  </si>
  <si>
    <t>1.43.18</t>
  </si>
  <si>
    <t>6 000 zł - budżet GUGiK</t>
  </si>
  <si>
    <t>7 858 zł - budżet GIOŚ</t>
  </si>
  <si>
    <t>1 173 753 zł – budżet NFOŚiGW</t>
  </si>
  <si>
    <t>615 000 zł – budżet NBP</t>
  </si>
  <si>
    <t>1 500 zł - budżet MSWiA</t>
  </si>
  <si>
    <t>48 000 zł - budżet IERiGŻ</t>
  </si>
  <si>
    <t>Koszty badań finansowane z budżetu (w mln zł):</t>
  </si>
  <si>
    <t>koszty badań GUS</t>
  </si>
  <si>
    <t>MAP</t>
  </si>
  <si>
    <t>GUS,  UP RP</t>
  </si>
  <si>
    <t>GUS,  MZ,  MSWiA,  MON</t>
  </si>
  <si>
    <t>GUS,  MZ,  MSWiA</t>
  </si>
  <si>
    <t>GUS,  MF</t>
  </si>
  <si>
    <t>GUS,  MZ</t>
  </si>
  <si>
    <t>GUS,  MS, PK</t>
  </si>
  <si>
    <t>MZ,  MSWiA</t>
  </si>
  <si>
    <t>GUS,  MRiRW</t>
  </si>
  <si>
    <t>GUS,  IERiGŻ</t>
  </si>
  <si>
    <t>GUS,  NBP</t>
  </si>
  <si>
    <t>GUS,  KNF</t>
  </si>
  <si>
    <t>GUS,  MSWiA</t>
  </si>
  <si>
    <t>Oświata i wychowanie</t>
  </si>
  <si>
    <t>Świadczenia w ramach Programu „Rodzina 500 plus"</t>
  </si>
  <si>
    <t>Badanie nowo powstałych przedsiębiorstw</t>
  </si>
  <si>
    <t>Pracownicze Plany Kapitałowe. Uzupełniające dane dla statystyki strukturalnej</t>
  </si>
  <si>
    <t>1.27.14</t>
  </si>
  <si>
    <t>Badanie cykliczne co 2 lata</t>
  </si>
  <si>
    <t>Badanie cykliczne co 10 lat</t>
  </si>
  <si>
    <t>Badanie cykliczne co 4 lata</t>
  </si>
  <si>
    <t>Badanie cykliczne co 6 lat</t>
  </si>
  <si>
    <t>Badanie cykliczne co 3 lata</t>
  </si>
  <si>
    <t>GUS,  MRiPS</t>
  </si>
  <si>
    <t>MKiŚ</t>
  </si>
  <si>
    <t>GUS,  MKiŚ</t>
  </si>
  <si>
    <t>GUS, MRiRW, MKiŚ, GIOŚ</t>
  </si>
  <si>
    <t>GUS, MKiŚ, GIOŚ</t>
  </si>
  <si>
    <t>GUS, GIOŚ, GDOŚ, MKiŚ</t>
  </si>
  <si>
    <t>GUS, MKiŚ, MRiRW, GIOŚ</t>
  </si>
  <si>
    <t>GUS, MKiŚ</t>
  </si>
  <si>
    <t>MKiŚ, URE</t>
  </si>
  <si>
    <t>796 020 zł - budżet NBP</t>
  </si>
  <si>
    <t>88 786 zł - budżet MZ</t>
  </si>
  <si>
    <t>45 000 zł - budżet MZ</t>
  </si>
  <si>
    <t>397 690 zł - budżet MZ</t>
  </si>
  <si>
    <t>1.21.12</t>
  </si>
  <si>
    <t xml:space="preserve">Narodowy spis powszechny ludności i mieszkań w 2021 r. – opracowanie wyników </t>
  </si>
  <si>
    <t>1.45.01</t>
  </si>
  <si>
    <t>7 817 zł - budżet MZ</t>
  </si>
  <si>
    <t>99 790 zł - budżet MZ</t>
  </si>
  <si>
    <t>2 106 970 zł - budżet GIW</t>
  </si>
  <si>
    <t>GUS,  MEiN</t>
  </si>
  <si>
    <t>78 000 zł - budżet MEiN</t>
  </si>
  <si>
    <t>Obiekty i działalność podmiotów kultury</t>
  </si>
  <si>
    <t>Rachunki Zdrowia: Narodowy Rachunek Zdrowia, Satelitarny Rachunek Zdrowia</t>
  </si>
  <si>
    <t>278 049 zł - budżet MZ</t>
  </si>
  <si>
    <t>Dojazdy uczniów do szkół podstawowych i ponadpodstawowych</t>
  </si>
  <si>
    <t>GUS, MSiT, NBP</t>
  </si>
  <si>
    <t>GUS,  MKiDN</t>
  </si>
  <si>
    <t>MKiDN</t>
  </si>
  <si>
    <t>1 968 zł - budżet MKiDN</t>
  </si>
  <si>
    <t>2 625 zł - budżet MKiDN</t>
  </si>
  <si>
    <t>GUS,  MRiT</t>
  </si>
  <si>
    <t>MRiT</t>
  </si>
  <si>
    <t>GUS, MF, MRiT</t>
  </si>
  <si>
    <t>252 697 zł - budżet MRiT</t>
  </si>
  <si>
    <t>93 500 zł - budżet MEiN</t>
  </si>
  <si>
    <t>345 500 zł - budżet MRiRW</t>
  </si>
  <si>
    <t>350 000 zł - budżet MKiDN</t>
  </si>
  <si>
    <t>Załącznik do OSR (pkt.13_Koszty badań statystycznych w Pbssp na rok 2023)</t>
  </si>
  <si>
    <t>Planowane koszty bezpośrednie badań statystycznych ujętych w  "Programie badań statystycznych statystyki publicznej na rok 2023"</t>
  </si>
  <si>
    <t>Koszty bezpośrednie badań ujętych w PBSSP'2023</t>
  </si>
  <si>
    <t>Działalność integracyjna podmiotów gospodarki społecznej</t>
  </si>
  <si>
    <t>1.04.09</t>
  </si>
  <si>
    <t>1.23.25</t>
  </si>
  <si>
    <t>Praca nierejestrowana</t>
  </si>
  <si>
    <t>Budżet czasu ludności</t>
  </si>
  <si>
    <t>Badanie cykliczne co 5 lat</t>
  </si>
  <si>
    <t>1.25.04</t>
  </si>
  <si>
    <t>1.25.23</t>
  </si>
  <si>
    <t>Aktywność na rynku pracy</t>
  </si>
  <si>
    <t>1.25.24</t>
  </si>
  <si>
    <t>1.25.26</t>
  </si>
  <si>
    <t>1.25.27</t>
  </si>
  <si>
    <t>Międzypokoleniowe dziedziczenie niekorzystnych sytuacji życiowych</t>
  </si>
  <si>
    <t>Warunki mieszkaniowe</t>
  </si>
  <si>
    <t>Rachunki ochrony socjalnej: Satelitarny rachunek ochrony socjalnej, Europejski system zintegrowanych statystyk na temat ochrony socjalnej (ESSPROS)</t>
  </si>
  <si>
    <t>Ochrona zabytków i opieka nad zabytkami w samorządzie gminnym</t>
  </si>
  <si>
    <t>1.28.11</t>
  </si>
  <si>
    <t>1.29.10</t>
  </si>
  <si>
    <t>Badanie cykliczne co 3-4 lata</t>
  </si>
  <si>
    <t>Ochrona zdrowia w gospodarstwach domowych</t>
  </si>
  <si>
    <t>1.29.21</t>
  </si>
  <si>
    <t xml:space="preserve">Osoby niepełnosprawne prawnie </t>
  </si>
  <si>
    <t>1.43.19</t>
  </si>
  <si>
    <t>Przewodniczący Krajowej Rady Radiofonii i Telewizji</t>
  </si>
  <si>
    <t>1.65.32</t>
  </si>
  <si>
    <t xml:space="preserve">Wydatki sektora instytucji rządowych i samorządowych oraz beneficjentów funduszy europejskich na realizację programów rozwojowych </t>
  </si>
  <si>
    <t>1.67.13</t>
  </si>
  <si>
    <t xml:space="preserve">Bilans przepływów międzygałęziowych w bieżących cenach bazowych </t>
  </si>
  <si>
    <t>100 600 zł – budżet NBP</t>
  </si>
  <si>
    <t>76 100 zł – budżet NBP</t>
  </si>
  <si>
    <t>61 796 zł - budżet MF</t>
  </si>
  <si>
    <t>181 740 zł - budżet MON</t>
  </si>
  <si>
    <t>4 332 zł – budżet MRiRW</t>
  </si>
  <si>
    <t>2 529 513 zł - budżet MEiN</t>
  </si>
  <si>
    <t xml:space="preserve">53 431 zł - budżet MS </t>
  </si>
  <si>
    <t>105 297 zł - budżet MS</t>
  </si>
  <si>
    <t>265 903 zł - budżet MS                        446 650 zł - budżet PK</t>
  </si>
  <si>
    <t>248 679 zł - budżet MF</t>
  </si>
  <si>
    <t>6 420 558 zł - budżet MF</t>
  </si>
  <si>
    <t>43 729 zł - budżet MF</t>
  </si>
  <si>
    <t>17 460 zł - budżet MF</t>
  </si>
  <si>
    <t>160 044 zł - budżet MF</t>
  </si>
  <si>
    <t>4 951 586 zł - budżet KRRiT</t>
  </si>
  <si>
    <t>70 000 zł - budżet KNF</t>
  </si>
  <si>
    <t>1.01.02</t>
  </si>
  <si>
    <t>24 000 zł – budżet MRiRW</t>
  </si>
  <si>
    <t>53 431 zł - budżet MS                        18 400 zł - budżet PK</t>
  </si>
  <si>
    <t>53 115 zł - budżet MS                         3 500 zł - budżet PK</t>
  </si>
  <si>
    <t>241 113 zł - budżet MRiPS</t>
  </si>
  <si>
    <t>122 473 zł - budżet MRiPS</t>
  </si>
  <si>
    <t xml:space="preserve">317 196 zł - MRiPS                       </t>
  </si>
  <si>
    <t>256 378 zł - budżet MRiPS</t>
  </si>
  <si>
    <t>8 737 zł - budżet MSWiA                     8 370 480 zł - budżet MZ</t>
  </si>
  <si>
    <t>13 441 zł - budżet MSWiA                     268 321 zł - budżet MZ</t>
  </si>
  <si>
    <t>16 801 zł - budżet MSWiA                      296 022 zł - budżet MZ</t>
  </si>
  <si>
    <t>28 227 zł - budżet MSWiA                    375 816 zł - budżet MZ</t>
  </si>
  <si>
    <t>110 000 zł - budżet MRiRW</t>
  </si>
  <si>
    <t>110 000 zł - budżet MRiRW                    5 800 zł - budżet GIORiN                 317 802 zł - budżet WIORiN</t>
  </si>
  <si>
    <t>364 500 zł - budżet MSiT                   149 500 zł - budżet NBP</t>
  </si>
  <si>
    <t>1 040 000 zł - budżet MSiT                    923 000 zł - budżet NBP</t>
  </si>
  <si>
    <t>16 300 zł - budżet GUNB</t>
  </si>
  <si>
    <t>badania nowe (4)</t>
  </si>
  <si>
    <t>badania cykliczne (11)</t>
  </si>
  <si>
    <t>Badanie odbioru sygnału stacji telewizyjnych w Polsce na podstawie ścieżki zwrotnej (Return Path Data)</t>
  </si>
  <si>
    <t>Zintegrowane statystyki dotyczące gospodarstw rolnych</t>
  </si>
  <si>
    <t>Powiatowy zasób geodezyjny i kartograficzny</t>
  </si>
  <si>
    <t>1 104 562 zł - budżet MKiŚ</t>
  </si>
  <si>
    <t>214 000 zł - budżet MKiŚ</t>
  </si>
  <si>
    <t>2 060 000 zł - budżet MKiŚ                130 000 zł - budżet URE</t>
  </si>
  <si>
    <t>2 060 000 zł - budżet MKiŚ</t>
  </si>
  <si>
    <t>275 000 zł - budżet MAP</t>
  </si>
  <si>
    <t>166 000 zł - budżet MAP</t>
  </si>
  <si>
    <t>1 903 364 zł - budżet MKiŚ                 20 000 zł - budżet URE</t>
  </si>
  <si>
    <t>67 900 zł – budżet NBP</t>
  </si>
  <si>
    <t>28 054 zł - budżet GIOŚ</t>
  </si>
  <si>
    <t>40 523 zł - budżet GIOŚ</t>
  </si>
  <si>
    <t>6 234 zł - budżet GIOŚ</t>
  </si>
  <si>
    <t>15 586 zł - budżet GIOŚ</t>
  </si>
  <si>
    <t>145 000 zł - budżet MKiDN</t>
  </si>
  <si>
    <t>14 655 zł - budżet KNF</t>
  </si>
  <si>
    <t>MFiPR</t>
  </si>
  <si>
    <t>83 000 zł – budżet NFOŚiGW                         5 760 zł – budżet MRiRW                                        143 770 zł - budżet GIOŚ</t>
  </si>
  <si>
    <t>Stan zdrowia ludności</t>
  </si>
  <si>
    <t>GUS,  MI</t>
  </si>
  <si>
    <t>125 000 zł - budżet MI</t>
  </si>
  <si>
    <t>190 000 zł - budżet MFiPR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</si>
</sst>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[$-415]d\ mmmm\ yyyy"/>
    <numFmt numFmtId="169" formatCode="0.0000000"/>
    <numFmt numFmtId="170" formatCode="0.000000"/>
    <numFmt numFmtId="171" formatCode="0.00000"/>
    <numFmt numFmtId="172" formatCode="0.0000"/>
    <numFmt numFmtId="173" formatCode="[$-415]dddd\,\ 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"/>
    <numFmt numFmtId="179" formatCode="#,##0.000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b/>
      <sz val="9"/>
      <name val="Fira Sans"/>
      <family val="2"/>
    </font>
    <font>
      <sz val="9"/>
      <name val="Fira Sans"/>
      <family val="2"/>
    </font>
    <font>
      <sz val="9"/>
      <color indexed="8"/>
      <name val="Fira Sans"/>
      <family val="2"/>
    </font>
    <font>
      <sz val="10.5"/>
      <name val="Times New Roman"/>
      <family val="1"/>
    </font>
    <font>
      <sz val="8"/>
      <name val="Fir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Fira San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Fira Sans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3" xfId="57" applyFont="1" applyFill="1" applyBorder="1" applyAlignment="1">
      <alignment horizontal="center" vertical="center"/>
      <protection/>
    </xf>
    <xf numFmtId="0" fontId="3" fillId="34" borderId="13" xfId="57" applyFont="1" applyFill="1" applyBorder="1" applyAlignment="1">
      <alignment horizontal="center" vertical="center" wrapText="1"/>
      <protection/>
    </xf>
    <xf numFmtId="0" fontId="3" fillId="34" borderId="14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57" applyFont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57" applyFont="1" applyAlignment="1">
      <alignment vertical="center"/>
      <protection/>
    </xf>
    <xf numFmtId="0" fontId="3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3" fontId="2" fillId="0" borderId="15" xfId="57" applyNumberFormat="1" applyFont="1" applyBorder="1" applyAlignment="1">
      <alignment vertical="center"/>
      <protection/>
    </xf>
    <xf numFmtId="3" fontId="2" fillId="0" borderId="10" xfId="57" applyNumberFormat="1" applyFont="1" applyBorder="1" applyAlignment="1">
      <alignment vertical="center"/>
      <protection/>
    </xf>
    <xf numFmtId="0" fontId="2" fillId="0" borderId="10" xfId="57" applyFont="1" applyBorder="1" applyAlignment="1">
      <alignment horizontal="right" vertical="center"/>
      <protection/>
    </xf>
    <xf numFmtId="0" fontId="3" fillId="36" borderId="0" xfId="57" applyFont="1" applyFill="1" applyAlignment="1">
      <alignment vertical="center"/>
      <protection/>
    </xf>
    <xf numFmtId="3" fontId="2" fillId="36" borderId="0" xfId="57" applyNumberFormat="1" applyFont="1" applyFill="1" applyAlignment="1">
      <alignment vertical="center"/>
      <protection/>
    </xf>
    <xf numFmtId="0" fontId="3" fillId="37" borderId="0" xfId="57" applyFont="1" applyFill="1" applyAlignment="1">
      <alignment vertical="center"/>
      <protection/>
    </xf>
    <xf numFmtId="3" fontId="2" fillId="37" borderId="0" xfId="57" applyNumberFormat="1" applyFont="1" applyFill="1" applyAlignment="1">
      <alignment vertical="center"/>
      <protection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3" fillId="38" borderId="0" xfId="57" applyFont="1" applyFill="1" applyAlignment="1">
      <alignment horizontal="left" vertical="center"/>
      <protection/>
    </xf>
    <xf numFmtId="1" fontId="3" fillId="34" borderId="16" xfId="57" applyNumberFormat="1" applyFont="1" applyFill="1" applyBorder="1" applyAlignment="1">
      <alignment horizontal="center" vertical="center"/>
      <protection/>
    </xf>
    <xf numFmtId="1" fontId="4" fillId="0" borderId="10" xfId="0" applyNumberFormat="1" applyFont="1" applyBorder="1" applyAlignment="1">
      <alignment horizontal="center" vertical="center"/>
    </xf>
    <xf numFmtId="1" fontId="3" fillId="0" borderId="0" xfId="57" applyNumberFormat="1" applyFont="1" applyAlignment="1">
      <alignment vertical="center"/>
      <protection/>
    </xf>
    <xf numFmtId="0" fontId="3" fillId="39" borderId="10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left" vertical="center" wrapText="1"/>
    </xf>
    <xf numFmtId="0" fontId="3" fillId="0" borderId="0" xfId="57" applyFont="1" applyAlignment="1">
      <alignment horizontal="right" vertical="center"/>
      <protection/>
    </xf>
    <xf numFmtId="1" fontId="3" fillId="0" borderId="0" xfId="0" applyNumberFormat="1" applyFont="1" applyAlignment="1">
      <alignment vertical="center"/>
    </xf>
    <xf numFmtId="0" fontId="3" fillId="0" borderId="0" xfId="57" applyFont="1" applyAlignment="1">
      <alignment vertical="center" wrapText="1"/>
      <protection/>
    </xf>
    <xf numFmtId="3" fontId="3" fillId="0" borderId="0" xfId="57" applyNumberFormat="1" applyFont="1" applyAlignment="1">
      <alignment vertical="center"/>
      <protection/>
    </xf>
    <xf numFmtId="3" fontId="2" fillId="0" borderId="10" xfId="57" applyNumberFormat="1" applyFont="1" applyBorder="1" applyAlignment="1">
      <alignment horizontal="right" vertical="center"/>
      <protection/>
    </xf>
    <xf numFmtId="0" fontId="3" fillId="36" borderId="0" xfId="57" applyFont="1" applyFill="1" applyAlignment="1">
      <alignment vertical="center" wrapText="1"/>
      <protection/>
    </xf>
    <xf numFmtId="0" fontId="3" fillId="37" borderId="0" xfId="57" applyFont="1" applyFill="1" applyAlignment="1">
      <alignment vertical="center" wrapText="1"/>
      <protection/>
    </xf>
    <xf numFmtId="3" fontId="2" fillId="37" borderId="0" xfId="57" applyNumberFormat="1" applyFont="1" applyFill="1" applyAlignment="1">
      <alignment vertical="center"/>
      <protection/>
    </xf>
    <xf numFmtId="49" fontId="3" fillId="9" borderId="10" xfId="0" applyNumberFormat="1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left" vertical="center" wrapText="1"/>
    </xf>
    <xf numFmtId="179" fontId="3" fillId="0" borderId="0" xfId="57" applyNumberFormat="1" applyFont="1" applyAlignment="1">
      <alignment vertical="center"/>
      <protection/>
    </xf>
    <xf numFmtId="0" fontId="5" fillId="0" borderId="0" xfId="0" applyFont="1" applyAlignment="1">
      <alignment/>
    </xf>
    <xf numFmtId="0" fontId="47" fillId="0" borderId="0" xfId="57" applyFont="1" applyAlignment="1">
      <alignment vertical="center" wrapText="1"/>
      <protection/>
    </xf>
    <xf numFmtId="166" fontId="47" fillId="0" borderId="0" xfId="57" applyNumberFormat="1" applyFont="1" applyAlignment="1">
      <alignment vertical="center" wrapText="1"/>
      <protection/>
    </xf>
    <xf numFmtId="0" fontId="47" fillId="0" borderId="0" xfId="57" applyFont="1" applyAlignment="1">
      <alignment vertical="center"/>
      <protection/>
    </xf>
    <xf numFmtId="0" fontId="47" fillId="0" borderId="0" xfId="57" applyFont="1" applyAlignment="1">
      <alignment horizontal="right" vertical="center"/>
      <protection/>
    </xf>
    <xf numFmtId="166" fontId="3" fillId="0" borderId="10" xfId="57" applyNumberFormat="1" applyFont="1" applyBorder="1" applyAlignment="1">
      <alignment wrapText="1"/>
      <protection/>
    </xf>
    <xf numFmtId="166" fontId="3" fillId="0" borderId="0" xfId="57" applyNumberFormat="1" applyFont="1" applyAlignment="1">
      <alignment vertical="center" wrapText="1"/>
      <protection/>
    </xf>
    <xf numFmtId="179" fontId="3" fillId="0" borderId="0" xfId="57" applyNumberFormat="1" applyFont="1" applyAlignment="1">
      <alignment horizontal="right" vertical="center"/>
      <protection/>
    </xf>
    <xf numFmtId="0" fontId="3" fillId="19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left" vertical="center" wrapText="1"/>
    </xf>
    <xf numFmtId="3" fontId="47" fillId="0" borderId="10" xfId="57" applyNumberFormat="1" applyFont="1" applyBorder="1" applyAlignment="1">
      <alignment horizontal="right" vertical="center"/>
      <protection/>
    </xf>
    <xf numFmtId="2" fontId="47" fillId="0" borderId="10" xfId="57" applyNumberFormat="1" applyFont="1" applyBorder="1" applyAlignment="1">
      <alignment horizontal="right" vertical="center"/>
      <protection/>
    </xf>
    <xf numFmtId="2" fontId="3" fillId="0" borderId="10" xfId="52" applyNumberFormat="1" applyFont="1" applyBorder="1" applyAlignment="1">
      <alignment horizontal="right" vertical="center"/>
      <protection/>
    </xf>
    <xf numFmtId="3" fontId="3" fillId="0" borderId="10" xfId="57" applyNumberFormat="1" applyFont="1" applyBorder="1" applyAlignment="1">
      <alignment horizontal="right" vertical="center"/>
      <protection/>
    </xf>
    <xf numFmtId="2" fontId="3" fillId="0" borderId="10" xfId="52" applyNumberFormat="1" applyFont="1" applyFill="1" applyBorder="1" applyAlignment="1">
      <alignment horizontal="right" vertical="center"/>
      <protection/>
    </xf>
    <xf numFmtId="2" fontId="3" fillId="0" borderId="17" xfId="52" applyNumberFormat="1" applyFont="1" applyBorder="1" applyAlignment="1">
      <alignment horizontal="right" vertical="center" wrapText="1"/>
      <protection/>
    </xf>
    <xf numFmtId="2" fontId="3" fillId="38" borderId="10" xfId="52" applyNumberFormat="1" applyFont="1" applyFill="1" applyBorder="1" applyAlignment="1">
      <alignment horizontal="right" vertical="center"/>
      <protection/>
    </xf>
    <xf numFmtId="2" fontId="3" fillId="38" borderId="10" xfId="52" applyNumberFormat="1" applyFont="1" applyFill="1" applyBorder="1" applyAlignment="1">
      <alignment horizontal="right" vertical="center" wrapText="1"/>
      <protection/>
    </xf>
    <xf numFmtId="3" fontId="3" fillId="38" borderId="10" xfId="57" applyNumberFormat="1" applyFont="1" applyFill="1" applyBorder="1" applyAlignment="1">
      <alignment horizontal="right" vertical="center"/>
      <protection/>
    </xf>
    <xf numFmtId="3" fontId="3" fillId="41" borderId="10" xfId="0" applyNumberFormat="1" applyFont="1" applyFill="1" applyBorder="1" applyAlignment="1">
      <alignment horizontal="right" vertical="center" wrapText="1"/>
    </xf>
    <xf numFmtId="0" fontId="3" fillId="41" borderId="10" xfId="0" applyFont="1" applyFill="1" applyBorder="1" applyAlignment="1">
      <alignment horizontal="right" vertical="center" wrapText="1"/>
    </xf>
    <xf numFmtId="3" fontId="3" fillId="19" borderId="10" xfId="57" applyNumberFormat="1" applyFont="1" applyFill="1" applyBorder="1" applyAlignment="1">
      <alignment horizontal="right" vertical="center"/>
      <protection/>
    </xf>
    <xf numFmtId="4" fontId="3" fillId="38" borderId="10" xfId="57" applyNumberFormat="1" applyFont="1" applyFill="1" applyBorder="1" applyAlignment="1">
      <alignment horizontal="right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right" vertical="center" wrapText="1"/>
      <protection/>
    </xf>
    <xf numFmtId="2" fontId="3" fillId="0" borderId="10" xfId="52" applyNumberFormat="1" applyFont="1" applyBorder="1" applyAlignment="1">
      <alignment horizontal="right" vertical="center" wrapText="1"/>
      <protection/>
    </xf>
    <xf numFmtId="1" fontId="3" fillId="0" borderId="10" xfId="52" applyNumberFormat="1" applyFont="1" applyBorder="1" applyAlignment="1">
      <alignment horizontal="right" vertical="center"/>
      <protection/>
    </xf>
    <xf numFmtId="3" fontId="3" fillId="0" borderId="10" xfId="0" applyNumberFormat="1" applyFont="1" applyBorder="1" applyAlignment="1">
      <alignment vertical="center"/>
    </xf>
    <xf numFmtId="2" fontId="3" fillId="0" borderId="10" xfId="57" applyNumberFormat="1" applyFont="1" applyBorder="1" applyAlignment="1">
      <alignment horizontal="right" vertical="center"/>
      <protection/>
    </xf>
    <xf numFmtId="3" fontId="3" fillId="9" borderId="10" xfId="57" applyNumberFormat="1" applyFont="1" applyFill="1" applyBorder="1" applyAlignment="1">
      <alignment horizontal="right" vertical="center"/>
      <protection/>
    </xf>
    <xf numFmtId="2" fontId="3" fillId="9" borderId="10" xfId="57" applyNumberFormat="1" applyFont="1" applyFill="1" applyBorder="1" applyAlignment="1">
      <alignment horizontal="right" vertical="center"/>
      <protection/>
    </xf>
    <xf numFmtId="0" fontId="3" fillId="0" borderId="10" xfId="57" applyFont="1" applyBorder="1" applyAlignment="1">
      <alignment horizontal="left" vertical="center"/>
      <protection/>
    </xf>
    <xf numFmtId="2" fontId="3" fillId="0" borderId="10" xfId="57" applyNumberFormat="1" applyFont="1" applyBorder="1" applyAlignment="1">
      <alignment horizontal="right" vertical="center" wrapText="1"/>
      <protection/>
    </xf>
    <xf numFmtId="3" fontId="3" fillId="9" borderId="10" xfId="0" applyNumberFormat="1" applyFont="1" applyFill="1" applyBorder="1" applyAlignment="1">
      <alignment vertical="center"/>
    </xf>
    <xf numFmtId="3" fontId="3" fillId="19" borderId="10" xfId="0" applyNumberFormat="1" applyFont="1" applyFill="1" applyBorder="1" applyAlignment="1">
      <alignment vertical="center"/>
    </xf>
    <xf numFmtId="2" fontId="3" fillId="19" borderId="10" xfId="57" applyNumberFormat="1" applyFont="1" applyFill="1" applyBorder="1" applyAlignment="1">
      <alignment horizontal="right" vertical="center"/>
      <protection/>
    </xf>
    <xf numFmtId="0" fontId="3" fillId="0" borderId="18" xfId="0" applyFont="1" applyBorder="1" applyAlignment="1">
      <alignment horizontal="left" vertical="center" wrapText="1"/>
    </xf>
    <xf numFmtId="3" fontId="3" fillId="0" borderId="19" xfId="57" applyNumberFormat="1" applyFont="1" applyBorder="1" applyAlignment="1">
      <alignment horizontal="right" vertical="center"/>
      <protection/>
    </xf>
    <xf numFmtId="0" fontId="3" fillId="0" borderId="17" xfId="57" applyFont="1" applyBorder="1" applyAlignment="1">
      <alignment horizontal="right" vertical="center"/>
      <protection/>
    </xf>
    <xf numFmtId="3" fontId="3" fillId="0" borderId="15" xfId="57" applyNumberFormat="1" applyFont="1" applyBorder="1" applyAlignment="1">
      <alignment horizontal="right" vertical="center"/>
      <protection/>
    </xf>
    <xf numFmtId="3" fontId="3" fillId="42" borderId="10" xfId="0" applyNumberFormat="1" applyFont="1" applyFill="1" applyBorder="1" applyAlignment="1">
      <alignment horizontal="right" vertical="center" wrapText="1"/>
    </xf>
    <xf numFmtId="2" fontId="3" fillId="38" borderId="10" xfId="57" applyNumberFormat="1" applyFont="1" applyFill="1" applyBorder="1" applyAlignment="1">
      <alignment horizontal="right" vertical="center"/>
      <protection/>
    </xf>
    <xf numFmtId="3" fontId="3" fillId="39" borderId="10" xfId="0" applyNumberFormat="1" applyFont="1" applyFill="1" applyBorder="1" applyAlignment="1">
      <alignment horizontal="right" vertical="center" wrapText="1"/>
    </xf>
    <xf numFmtId="0" fontId="3" fillId="38" borderId="18" xfId="0" applyFont="1" applyFill="1" applyBorder="1" applyAlignment="1">
      <alignment horizontal="left" vertical="center" wrapText="1"/>
    </xf>
    <xf numFmtId="2" fontId="3" fillId="0" borderId="20" xfId="52" applyNumberFormat="1" applyFont="1" applyBorder="1" applyAlignment="1">
      <alignment horizontal="right" vertical="center"/>
      <protection/>
    </xf>
    <xf numFmtId="2" fontId="3" fillId="38" borderId="20" xfId="52" applyNumberFormat="1" applyFont="1" applyFill="1" applyBorder="1" applyAlignment="1">
      <alignment horizontal="right" vertical="center"/>
      <protection/>
    </xf>
    <xf numFmtId="3" fontId="3" fillId="0" borderId="17" xfId="57" applyNumberFormat="1" applyFont="1" applyBorder="1" applyAlignment="1">
      <alignment horizontal="right" vertical="center"/>
      <protection/>
    </xf>
    <xf numFmtId="0" fontId="3" fillId="0" borderId="17" xfId="57" applyFont="1" applyBorder="1" applyAlignment="1">
      <alignment vertical="center"/>
      <protection/>
    </xf>
    <xf numFmtId="3" fontId="3" fillId="0" borderId="10" xfId="57" applyNumberFormat="1" applyFont="1" applyFill="1" applyBorder="1" applyAlignment="1">
      <alignment horizontal="right" vertical="center"/>
      <protection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40" borderId="10" xfId="0" applyNumberFormat="1" applyFont="1" applyFill="1" applyBorder="1" applyAlignment="1">
      <alignment horizontal="right" vertical="center" wrapText="1"/>
    </xf>
    <xf numFmtId="3" fontId="3" fillId="0" borderId="18" xfId="57" applyNumberFormat="1" applyFont="1" applyFill="1" applyBorder="1" applyAlignment="1">
      <alignment horizontal="right" vertical="center"/>
      <protection/>
    </xf>
    <xf numFmtId="4" fontId="3" fillId="38" borderId="10" xfId="57" applyNumberFormat="1" applyFont="1" applyFill="1" applyBorder="1" applyAlignment="1">
      <alignment horizontal="right" vertical="center" wrapText="1"/>
      <protection/>
    </xf>
    <xf numFmtId="4" fontId="3" fillId="0" borderId="10" xfId="57" applyNumberFormat="1" applyFont="1" applyFill="1" applyBorder="1" applyAlignment="1">
      <alignment horizontal="right" vertical="center" wrapText="1"/>
      <protection/>
    </xf>
    <xf numFmtId="4" fontId="3" fillId="0" borderId="10" xfId="57" applyNumberFormat="1" applyFont="1" applyBorder="1" applyAlignment="1">
      <alignment horizontal="right" vertical="center"/>
      <protection/>
    </xf>
    <xf numFmtId="2" fontId="3" fillId="0" borderId="10" xfId="57" applyNumberFormat="1" applyFont="1" applyFill="1" applyBorder="1" applyAlignment="1">
      <alignment horizontal="right" vertical="center"/>
      <protection/>
    </xf>
    <xf numFmtId="2" fontId="3" fillId="0" borderId="20" xfId="52" applyNumberFormat="1" applyFont="1" applyFill="1" applyBorder="1" applyAlignment="1">
      <alignment horizontal="right" vertical="center"/>
      <protection/>
    </xf>
    <xf numFmtId="2" fontId="3" fillId="0" borderId="20" xfId="57" applyNumberFormat="1" applyFont="1" applyBorder="1" applyAlignment="1">
      <alignment horizontal="right" vertical="center"/>
      <protection/>
    </xf>
    <xf numFmtId="0" fontId="3" fillId="0" borderId="17" xfId="0" applyFont="1" applyBorder="1" applyAlignment="1">
      <alignment vertical="center"/>
    </xf>
    <xf numFmtId="3" fontId="3" fillId="0" borderId="18" xfId="57" applyNumberFormat="1" applyFont="1" applyBorder="1" applyAlignment="1">
      <alignment horizontal="right" vertical="center"/>
      <protection/>
    </xf>
    <xf numFmtId="0" fontId="3" fillId="0" borderId="15" xfId="57" applyFont="1" applyBorder="1" applyAlignment="1">
      <alignment horizontal="right" vertical="center"/>
      <protection/>
    </xf>
    <xf numFmtId="0" fontId="3" fillId="0" borderId="10" xfId="57" applyFont="1" applyBorder="1" applyAlignment="1">
      <alignment horizontal="right" vertical="center"/>
      <protection/>
    </xf>
    <xf numFmtId="6" fontId="3" fillId="41" borderId="10" xfId="0" applyNumberFormat="1" applyFont="1" applyFill="1" applyBorder="1" applyAlignment="1">
      <alignment horizontal="right"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38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3" fillId="0" borderId="26" xfId="57" applyFont="1" applyBorder="1" applyAlignment="1">
      <alignment horizontal="center" vertical="center"/>
      <protection/>
    </xf>
    <xf numFmtId="0" fontId="2" fillId="43" borderId="27" xfId="0" applyFont="1" applyFill="1" applyBorder="1" applyAlignment="1">
      <alignment horizontal="center" vertical="center" wrapText="1"/>
    </xf>
    <xf numFmtId="0" fontId="2" fillId="43" borderId="28" xfId="0" applyFont="1" applyFill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Obliczenia" xfId="53"/>
    <cellStyle name="Followed Hyperlink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EBF1DE"/>
      <rgbColor rgb="00EDEDED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2DCDB"/>
      <rgbColor rgb="00FFFF99"/>
      <rgbColor rgb="0099CCFF"/>
      <rgbColor rgb="00FF99CC"/>
      <rgbColor rgb="00CC99FF"/>
      <rgbColor rgb="00F8CBAD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P281"/>
  <sheetViews>
    <sheetView tabSelected="1" zoomScalePageLayoutView="0" workbookViewId="0" topLeftCell="A235">
      <selection activeCell="E4" sqref="E4:E6"/>
    </sheetView>
  </sheetViews>
  <sheetFormatPr defaultColWidth="10.8515625" defaultRowHeight="12.75"/>
  <cols>
    <col min="1" max="1" width="4.8515625" style="30" customWidth="1"/>
    <col min="2" max="2" width="9.57421875" style="14" customWidth="1"/>
    <col min="3" max="3" width="40.00390625" style="38" customWidth="1"/>
    <col min="4" max="4" width="14.57421875" style="38" customWidth="1"/>
    <col min="5" max="5" width="26.421875" style="38" customWidth="1"/>
    <col min="6" max="6" width="15.421875" style="14" customWidth="1"/>
    <col min="7" max="7" width="25.421875" style="36" customWidth="1"/>
    <col min="8" max="8" width="17.8515625" style="14" customWidth="1"/>
    <col min="9" max="9" width="12.00390625" style="14" customWidth="1"/>
    <col min="10" max="10" width="12.8515625" style="14" customWidth="1"/>
    <col min="11" max="16384" width="10.8515625" style="14" customWidth="1"/>
  </cols>
  <sheetData>
    <row r="1" spans="1:250" ht="12">
      <c r="A1" s="37"/>
      <c r="B1" s="16"/>
      <c r="D1" s="16"/>
      <c r="E1" s="16"/>
      <c r="F1" s="16"/>
      <c r="H1" s="16"/>
      <c r="I1" s="16"/>
      <c r="J1" s="36" t="s">
        <v>0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</row>
    <row r="2" spans="1:250" ht="15.75" customHeight="1" thickBot="1">
      <c r="A2" s="127" t="s">
        <v>577</v>
      </c>
      <c r="B2" s="127"/>
      <c r="C2" s="127"/>
      <c r="D2" s="127"/>
      <c r="E2" s="127"/>
      <c r="F2" s="127"/>
      <c r="G2" s="127"/>
      <c r="H2" s="127"/>
      <c r="I2" s="127"/>
      <c r="J2" s="127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</row>
    <row r="3" spans="1:250" ht="56.25" customHeight="1" thickBot="1">
      <c r="A3" s="128" t="s">
        <v>578</v>
      </c>
      <c r="B3" s="128"/>
      <c r="C3" s="128"/>
      <c r="D3" s="128"/>
      <c r="E3" s="128"/>
      <c r="F3" s="128"/>
      <c r="G3" s="128"/>
      <c r="H3" s="129" t="s">
        <v>1</v>
      </c>
      <c r="I3" s="129"/>
      <c r="J3" s="129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ht="27" customHeight="1" thickBot="1">
      <c r="A4" s="130" t="s">
        <v>2</v>
      </c>
      <c r="B4" s="122" t="s">
        <v>3</v>
      </c>
      <c r="C4" s="122" t="s">
        <v>4</v>
      </c>
      <c r="D4" s="122" t="s">
        <v>5</v>
      </c>
      <c r="E4" s="122" t="s">
        <v>6</v>
      </c>
      <c r="F4" s="123" t="s">
        <v>579</v>
      </c>
      <c r="G4" s="123"/>
      <c r="H4" s="124" t="s">
        <v>7</v>
      </c>
      <c r="I4" s="124"/>
      <c r="J4" s="124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ht="21.75" customHeight="1" thickBot="1">
      <c r="A5" s="130"/>
      <c r="B5" s="122"/>
      <c r="C5" s="122"/>
      <c r="D5" s="122"/>
      <c r="E5" s="122"/>
      <c r="F5" s="120" t="s">
        <v>8</v>
      </c>
      <c r="G5" s="121" t="s">
        <v>9</v>
      </c>
      <c r="H5" s="125" t="s">
        <v>10</v>
      </c>
      <c r="I5" s="126" t="s">
        <v>11</v>
      </c>
      <c r="J5" s="12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ht="72.75" customHeight="1" thickBot="1">
      <c r="A6" s="130"/>
      <c r="B6" s="122"/>
      <c r="C6" s="122"/>
      <c r="D6" s="122"/>
      <c r="E6" s="122"/>
      <c r="F6" s="120"/>
      <c r="G6" s="121"/>
      <c r="H6" s="125"/>
      <c r="I6" s="2" t="s">
        <v>12</v>
      </c>
      <c r="J6" s="3" t="s">
        <v>13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10" s="7" customFormat="1" ht="12">
      <c r="A7" s="28">
        <v>1</v>
      </c>
      <c r="B7" s="4">
        <v>2</v>
      </c>
      <c r="C7" s="4">
        <v>3</v>
      </c>
      <c r="D7" s="4">
        <v>4</v>
      </c>
      <c r="E7" s="5">
        <v>5</v>
      </c>
      <c r="F7" s="4">
        <v>6</v>
      </c>
      <c r="G7" s="6">
        <v>7</v>
      </c>
      <c r="H7" s="4">
        <v>8</v>
      </c>
      <c r="I7" s="6">
        <v>9</v>
      </c>
      <c r="J7" s="4">
        <v>10</v>
      </c>
    </row>
    <row r="8" spans="1:10" s="9" customFormat="1" ht="24">
      <c r="A8" s="29">
        <v>1</v>
      </c>
      <c r="B8" s="1" t="s">
        <v>14</v>
      </c>
      <c r="C8" s="8" t="s">
        <v>15</v>
      </c>
      <c r="D8" s="8" t="s">
        <v>16</v>
      </c>
      <c r="E8" s="8" t="s">
        <v>8</v>
      </c>
      <c r="F8" s="76">
        <v>27753</v>
      </c>
      <c r="G8" s="103"/>
      <c r="H8" s="62">
        <f>F8</f>
        <v>27753</v>
      </c>
      <c r="I8" s="62"/>
      <c r="J8" s="62"/>
    </row>
    <row r="9" spans="1:10" s="9" customFormat="1" ht="24">
      <c r="A9" s="29">
        <v>2</v>
      </c>
      <c r="B9" s="72" t="s">
        <v>624</v>
      </c>
      <c r="C9" s="26" t="s">
        <v>17</v>
      </c>
      <c r="D9" s="26" t="s">
        <v>16</v>
      </c>
      <c r="E9" s="26" t="s">
        <v>543</v>
      </c>
      <c r="F9" s="76">
        <v>9692</v>
      </c>
      <c r="G9" s="71" t="s">
        <v>499</v>
      </c>
      <c r="H9" s="62">
        <f>F9+2880</f>
        <v>12572</v>
      </c>
      <c r="I9" s="62"/>
      <c r="J9" s="62"/>
    </row>
    <row r="10" spans="1:10" s="9" customFormat="1" ht="24">
      <c r="A10" s="29">
        <v>3</v>
      </c>
      <c r="B10" s="1" t="s">
        <v>19</v>
      </c>
      <c r="C10" s="26" t="s">
        <v>20</v>
      </c>
      <c r="D10" s="26" t="s">
        <v>16</v>
      </c>
      <c r="E10" s="8" t="s">
        <v>542</v>
      </c>
      <c r="F10" s="76">
        <v>9692</v>
      </c>
      <c r="G10" s="71" t="s">
        <v>511</v>
      </c>
      <c r="H10" s="62">
        <f>F10</f>
        <v>9692</v>
      </c>
      <c r="I10" s="62">
        <f>1081353+92400</f>
        <v>1173753</v>
      </c>
      <c r="J10" s="62"/>
    </row>
    <row r="11" spans="1:10" s="9" customFormat="1" ht="24">
      <c r="A11" s="29">
        <v>4</v>
      </c>
      <c r="B11" s="1" t="s">
        <v>21</v>
      </c>
      <c r="C11" s="26" t="s">
        <v>22</v>
      </c>
      <c r="D11" s="26" t="s">
        <v>16</v>
      </c>
      <c r="E11" s="26" t="s">
        <v>544</v>
      </c>
      <c r="F11" s="76">
        <v>1228785</v>
      </c>
      <c r="G11" s="101" t="s">
        <v>654</v>
      </c>
      <c r="H11" s="62">
        <f>F11+6454+21600</f>
        <v>1256839</v>
      </c>
      <c r="I11" s="62"/>
      <c r="J11" s="62"/>
    </row>
    <row r="12" spans="1:10" s="9" customFormat="1" ht="12">
      <c r="A12" s="29">
        <v>5</v>
      </c>
      <c r="B12" s="1" t="s">
        <v>23</v>
      </c>
      <c r="C12" s="26" t="s">
        <v>24</v>
      </c>
      <c r="D12" s="26" t="s">
        <v>16</v>
      </c>
      <c r="E12" s="26" t="s">
        <v>544</v>
      </c>
      <c r="F12" s="76">
        <v>288051</v>
      </c>
      <c r="G12" s="101" t="s">
        <v>655</v>
      </c>
      <c r="H12" s="62">
        <f>F12+9323+31200</f>
        <v>328574</v>
      </c>
      <c r="I12" s="62"/>
      <c r="J12" s="62"/>
    </row>
    <row r="13" spans="1:10" s="9" customFormat="1" ht="24">
      <c r="A13" s="29">
        <v>6</v>
      </c>
      <c r="B13" s="1" t="s">
        <v>25</v>
      </c>
      <c r="C13" s="26" t="s">
        <v>26</v>
      </c>
      <c r="D13" s="26" t="s">
        <v>16</v>
      </c>
      <c r="E13" s="26" t="s">
        <v>545</v>
      </c>
      <c r="F13" s="76">
        <v>423190</v>
      </c>
      <c r="G13" s="102" t="s">
        <v>656</v>
      </c>
      <c r="H13" s="62">
        <f>F13+1434+4800</f>
        <v>429424</v>
      </c>
      <c r="I13" s="62"/>
      <c r="J13" s="62"/>
    </row>
    <row r="14" spans="1:10" s="9" customFormat="1" ht="12">
      <c r="A14" s="29">
        <v>7</v>
      </c>
      <c r="B14" s="1" t="s">
        <v>27</v>
      </c>
      <c r="C14" s="26" t="s">
        <v>28</v>
      </c>
      <c r="D14" s="26" t="s">
        <v>16</v>
      </c>
      <c r="E14" s="26" t="s">
        <v>544</v>
      </c>
      <c r="F14" s="76">
        <v>1315529</v>
      </c>
      <c r="G14" s="101" t="s">
        <v>510</v>
      </c>
      <c r="H14" s="62">
        <f>F14+7858</f>
        <v>1323387</v>
      </c>
      <c r="I14" s="62"/>
      <c r="J14" s="62"/>
    </row>
    <row r="15" spans="1:10" s="9" customFormat="1" ht="12">
      <c r="A15" s="29">
        <v>8</v>
      </c>
      <c r="B15" s="1" t="s">
        <v>29</v>
      </c>
      <c r="C15" s="26" t="s">
        <v>30</v>
      </c>
      <c r="D15" s="26" t="s">
        <v>16</v>
      </c>
      <c r="E15" s="26" t="s">
        <v>544</v>
      </c>
      <c r="F15" s="76">
        <v>19384</v>
      </c>
      <c r="G15" s="101" t="s">
        <v>657</v>
      </c>
      <c r="H15" s="62">
        <f>F15+3586+12000</f>
        <v>34970</v>
      </c>
      <c r="I15" s="62"/>
      <c r="J15" s="62"/>
    </row>
    <row r="16" spans="1:10" s="9" customFormat="1" ht="39.75" customHeight="1">
      <c r="A16" s="29">
        <v>9</v>
      </c>
      <c r="B16" s="1" t="s">
        <v>31</v>
      </c>
      <c r="C16" s="26" t="s">
        <v>32</v>
      </c>
      <c r="D16" s="26" t="s">
        <v>16</v>
      </c>
      <c r="E16" s="26" t="s">
        <v>546</v>
      </c>
      <c r="F16" s="62">
        <v>1683270</v>
      </c>
      <c r="G16" s="101" t="s">
        <v>661</v>
      </c>
      <c r="H16" s="62">
        <f>F16+5760+142670+1100</f>
        <v>1832800</v>
      </c>
      <c r="I16" s="62">
        <v>83000</v>
      </c>
      <c r="J16" s="62"/>
    </row>
    <row r="17" spans="1:10" s="9" customFormat="1" ht="24">
      <c r="A17" s="29">
        <v>10</v>
      </c>
      <c r="B17" s="1" t="s">
        <v>33</v>
      </c>
      <c r="C17" s="8" t="s">
        <v>34</v>
      </c>
      <c r="D17" s="8" t="s">
        <v>16</v>
      </c>
      <c r="E17" s="8" t="s">
        <v>8</v>
      </c>
      <c r="F17" s="62">
        <v>56212</v>
      </c>
      <c r="G17" s="71"/>
      <c r="H17" s="62">
        <f aca="true" t="shared" si="0" ref="H17:H22">F17</f>
        <v>56212</v>
      </c>
      <c r="I17" s="62"/>
      <c r="J17" s="62"/>
    </row>
    <row r="18" spans="1:10" s="9" customFormat="1" ht="12">
      <c r="A18" s="29">
        <v>11</v>
      </c>
      <c r="B18" s="25" t="s">
        <v>35</v>
      </c>
      <c r="C18" s="26" t="s">
        <v>36</v>
      </c>
      <c r="D18" s="8" t="s">
        <v>16</v>
      </c>
      <c r="E18" s="8" t="s">
        <v>542</v>
      </c>
      <c r="F18" s="62">
        <v>18414</v>
      </c>
      <c r="G18" s="71"/>
      <c r="H18" s="62">
        <f t="shared" si="0"/>
        <v>18414</v>
      </c>
      <c r="I18" s="62"/>
      <c r="J18" s="62"/>
    </row>
    <row r="19" spans="1:10" s="9" customFormat="1" ht="12">
      <c r="A19" s="29">
        <v>12</v>
      </c>
      <c r="B19" s="25" t="s">
        <v>37</v>
      </c>
      <c r="C19" s="26" t="s">
        <v>38</v>
      </c>
      <c r="D19" s="8" t="s">
        <v>16</v>
      </c>
      <c r="E19" s="8" t="s">
        <v>8</v>
      </c>
      <c r="F19" s="62">
        <v>56697</v>
      </c>
      <c r="G19" s="71"/>
      <c r="H19" s="62">
        <f t="shared" si="0"/>
        <v>56697</v>
      </c>
      <c r="I19" s="62"/>
      <c r="J19" s="62"/>
    </row>
    <row r="20" spans="1:10" s="9" customFormat="1" ht="12">
      <c r="A20" s="29">
        <v>13</v>
      </c>
      <c r="B20" s="1" t="s">
        <v>39</v>
      </c>
      <c r="C20" s="8" t="s">
        <v>40</v>
      </c>
      <c r="D20" s="8" t="s">
        <v>16</v>
      </c>
      <c r="E20" s="8" t="s">
        <v>8</v>
      </c>
      <c r="F20" s="62">
        <v>28978</v>
      </c>
      <c r="G20" s="71"/>
      <c r="H20" s="62">
        <f t="shared" si="0"/>
        <v>28978</v>
      </c>
      <c r="I20" s="62"/>
      <c r="J20" s="62"/>
    </row>
    <row r="21" spans="1:10" s="9" customFormat="1" ht="12">
      <c r="A21" s="29">
        <v>14</v>
      </c>
      <c r="B21" s="1" t="s">
        <v>41</v>
      </c>
      <c r="C21" s="10" t="s">
        <v>484</v>
      </c>
      <c r="D21" s="8" t="s">
        <v>16</v>
      </c>
      <c r="E21" s="8" t="s">
        <v>8</v>
      </c>
      <c r="F21" s="62">
        <v>617399</v>
      </c>
      <c r="G21" s="90"/>
      <c r="H21" s="62">
        <f t="shared" si="0"/>
        <v>617399</v>
      </c>
      <c r="I21" s="62"/>
      <c r="J21" s="62"/>
    </row>
    <row r="22" spans="1:10" s="9" customFormat="1" ht="12">
      <c r="A22" s="29">
        <v>15</v>
      </c>
      <c r="B22" s="1" t="s">
        <v>42</v>
      </c>
      <c r="C22" s="8" t="s">
        <v>43</v>
      </c>
      <c r="D22" s="8" t="s">
        <v>16</v>
      </c>
      <c r="E22" s="8" t="s">
        <v>8</v>
      </c>
      <c r="F22" s="62">
        <v>17148</v>
      </c>
      <c r="G22" s="90"/>
      <c r="H22" s="62">
        <f t="shared" si="0"/>
        <v>17148</v>
      </c>
      <c r="I22" s="62"/>
      <c r="J22" s="62"/>
    </row>
    <row r="23" spans="1:10" s="9" customFormat="1" ht="24">
      <c r="A23" s="29">
        <v>16</v>
      </c>
      <c r="B23" s="1" t="s">
        <v>44</v>
      </c>
      <c r="C23" s="26" t="s">
        <v>45</v>
      </c>
      <c r="D23" s="26" t="s">
        <v>16</v>
      </c>
      <c r="E23" s="26" t="s">
        <v>571</v>
      </c>
      <c r="F23" s="62">
        <v>0</v>
      </c>
      <c r="G23" s="65" t="s">
        <v>573</v>
      </c>
      <c r="H23" s="62">
        <f>F23+252697</f>
        <v>252697</v>
      </c>
      <c r="I23" s="62"/>
      <c r="J23" s="62"/>
    </row>
    <row r="24" spans="1:10" s="9" customFormat="1" ht="12">
      <c r="A24" s="29">
        <v>17</v>
      </c>
      <c r="B24" s="1" t="s">
        <v>46</v>
      </c>
      <c r="C24" s="26" t="s">
        <v>645</v>
      </c>
      <c r="D24" s="26" t="s">
        <v>16</v>
      </c>
      <c r="E24" s="26" t="s">
        <v>47</v>
      </c>
      <c r="F24" s="62">
        <v>0</v>
      </c>
      <c r="G24" s="65" t="s">
        <v>509</v>
      </c>
      <c r="H24" s="62">
        <f>F24+6000</f>
        <v>6000</v>
      </c>
      <c r="I24" s="62"/>
      <c r="J24" s="62"/>
    </row>
    <row r="25" spans="1:10" s="9" customFormat="1" ht="24">
      <c r="A25" s="29">
        <v>18</v>
      </c>
      <c r="B25" s="1" t="s">
        <v>48</v>
      </c>
      <c r="C25" s="26" t="s">
        <v>49</v>
      </c>
      <c r="D25" s="26" t="s">
        <v>16</v>
      </c>
      <c r="E25" s="26" t="s">
        <v>50</v>
      </c>
      <c r="F25" s="62">
        <v>0</v>
      </c>
      <c r="G25" s="66" t="s">
        <v>616</v>
      </c>
      <c r="H25" s="62">
        <f>F25+262461+3442+366700+79950</f>
        <v>712553</v>
      </c>
      <c r="I25" s="62"/>
      <c r="J25" s="62"/>
    </row>
    <row r="26" spans="1:10" s="9" customFormat="1" ht="42">
      <c r="A26" s="29">
        <v>19</v>
      </c>
      <c r="B26" s="1" t="s">
        <v>51</v>
      </c>
      <c r="C26" s="112" t="s">
        <v>52</v>
      </c>
      <c r="D26" s="26" t="s">
        <v>16</v>
      </c>
      <c r="E26" s="26" t="s">
        <v>53</v>
      </c>
      <c r="F26" s="62">
        <v>0</v>
      </c>
      <c r="G26" s="65" t="s">
        <v>615</v>
      </c>
      <c r="H26" s="62">
        <f>F26+104984+313</f>
        <v>105297</v>
      </c>
      <c r="I26" s="62"/>
      <c r="J26" s="62"/>
    </row>
    <row r="27" spans="1:10" s="9" customFormat="1" ht="24">
      <c r="A27" s="29">
        <v>20</v>
      </c>
      <c r="B27" s="1" t="s">
        <v>54</v>
      </c>
      <c r="C27" s="26" t="s">
        <v>55</v>
      </c>
      <c r="D27" s="26" t="s">
        <v>16</v>
      </c>
      <c r="E27" s="26" t="s">
        <v>523</v>
      </c>
      <c r="F27" s="62">
        <v>157992</v>
      </c>
      <c r="G27" s="66" t="s">
        <v>627</v>
      </c>
      <c r="H27" s="62">
        <f>F27+52492+623+3500</f>
        <v>214607</v>
      </c>
      <c r="I27" s="62"/>
      <c r="J27" s="62"/>
    </row>
    <row r="28" spans="1:10" s="9" customFormat="1" ht="24">
      <c r="A28" s="29">
        <v>21</v>
      </c>
      <c r="B28" s="1" t="s">
        <v>56</v>
      </c>
      <c r="C28" s="26" t="s">
        <v>57</v>
      </c>
      <c r="D28" s="26" t="s">
        <v>16</v>
      </c>
      <c r="E28" s="26" t="s">
        <v>53</v>
      </c>
      <c r="F28" s="62">
        <v>0</v>
      </c>
      <c r="G28" s="65" t="s">
        <v>614</v>
      </c>
      <c r="H28" s="62">
        <f>52492+939</f>
        <v>53431</v>
      </c>
      <c r="I28" s="62"/>
      <c r="J28" s="62"/>
    </row>
    <row r="29" spans="1:10" s="9" customFormat="1" ht="24">
      <c r="A29" s="29">
        <v>22</v>
      </c>
      <c r="B29" s="1" t="s">
        <v>58</v>
      </c>
      <c r="C29" s="26" t="s">
        <v>59</v>
      </c>
      <c r="D29" s="26" t="s">
        <v>16</v>
      </c>
      <c r="E29" s="26" t="s">
        <v>50</v>
      </c>
      <c r="F29" s="62">
        <v>0</v>
      </c>
      <c r="G29" s="66" t="s">
        <v>626</v>
      </c>
      <c r="H29" s="62">
        <f>F29+52492+939+18400</f>
        <v>71831</v>
      </c>
      <c r="I29" s="62"/>
      <c r="J29" s="62"/>
    </row>
    <row r="30" spans="1:10" s="9" customFormat="1" ht="12">
      <c r="A30" s="29">
        <v>23</v>
      </c>
      <c r="B30" s="1" t="s">
        <v>60</v>
      </c>
      <c r="C30" s="26" t="s">
        <v>61</v>
      </c>
      <c r="D30" s="26" t="s">
        <v>16</v>
      </c>
      <c r="E30" s="26" t="s">
        <v>529</v>
      </c>
      <c r="F30" s="62">
        <v>172524</v>
      </c>
      <c r="G30" s="63" t="s">
        <v>513</v>
      </c>
      <c r="H30" s="62">
        <f>F30+1500</f>
        <v>174024</v>
      </c>
      <c r="I30" s="62"/>
      <c r="J30" s="62"/>
    </row>
    <row r="31" spans="1:10" s="9" customFormat="1" ht="24">
      <c r="A31" s="29">
        <v>24</v>
      </c>
      <c r="B31" s="1" t="s">
        <v>62</v>
      </c>
      <c r="C31" s="8" t="s">
        <v>63</v>
      </c>
      <c r="D31" s="8" t="s">
        <v>16</v>
      </c>
      <c r="E31" s="8" t="s">
        <v>540</v>
      </c>
      <c r="F31" s="62">
        <v>3081240</v>
      </c>
      <c r="G31" s="77"/>
      <c r="H31" s="62">
        <f aca="true" t="shared" si="1" ref="H31:H36">F31</f>
        <v>3081240</v>
      </c>
      <c r="I31" s="62"/>
      <c r="J31" s="62"/>
    </row>
    <row r="32" spans="1:10" s="9" customFormat="1" ht="12">
      <c r="A32" s="29">
        <v>25</v>
      </c>
      <c r="B32" s="1" t="s">
        <v>64</v>
      </c>
      <c r="C32" s="8" t="s">
        <v>65</v>
      </c>
      <c r="D32" s="8" t="s">
        <v>16</v>
      </c>
      <c r="E32" s="8" t="s">
        <v>8</v>
      </c>
      <c r="F32" s="62">
        <v>27981</v>
      </c>
      <c r="G32" s="77"/>
      <c r="H32" s="62">
        <f t="shared" si="1"/>
        <v>27981</v>
      </c>
      <c r="I32" s="62"/>
      <c r="J32" s="62"/>
    </row>
    <row r="33" spans="1:10" s="9" customFormat="1" ht="48">
      <c r="A33" s="29">
        <v>26</v>
      </c>
      <c r="B33" s="1" t="s">
        <v>66</v>
      </c>
      <c r="C33" s="8" t="s">
        <v>67</v>
      </c>
      <c r="D33" s="8" t="s">
        <v>16</v>
      </c>
      <c r="E33" s="8" t="s">
        <v>8</v>
      </c>
      <c r="F33" s="62">
        <v>108796</v>
      </c>
      <c r="G33" s="77"/>
      <c r="H33" s="62">
        <f t="shared" si="1"/>
        <v>108796</v>
      </c>
      <c r="I33" s="62"/>
      <c r="J33" s="62"/>
    </row>
    <row r="34" spans="1:10" s="9" customFormat="1" ht="24">
      <c r="A34" s="29">
        <v>27</v>
      </c>
      <c r="B34" s="44" t="s">
        <v>581</v>
      </c>
      <c r="C34" s="33" t="s">
        <v>580</v>
      </c>
      <c r="D34" s="31" t="s">
        <v>535</v>
      </c>
      <c r="E34" s="33" t="s">
        <v>8</v>
      </c>
      <c r="F34" s="78">
        <v>82109</v>
      </c>
      <c r="G34" s="79"/>
      <c r="H34" s="78">
        <f>F34</f>
        <v>82109</v>
      </c>
      <c r="I34" s="78"/>
      <c r="J34" s="78"/>
    </row>
    <row r="35" spans="1:10" s="9" customFormat="1" ht="12">
      <c r="A35" s="29">
        <v>28</v>
      </c>
      <c r="B35" s="1" t="s">
        <v>68</v>
      </c>
      <c r="C35" s="8" t="s">
        <v>69</v>
      </c>
      <c r="D35" s="8" t="s">
        <v>16</v>
      </c>
      <c r="E35" s="8" t="s">
        <v>8</v>
      </c>
      <c r="F35" s="62">
        <v>75111</v>
      </c>
      <c r="G35" s="77"/>
      <c r="H35" s="62">
        <f t="shared" si="1"/>
        <v>75111</v>
      </c>
      <c r="I35" s="62"/>
      <c r="J35" s="62"/>
    </row>
    <row r="36" spans="1:10" s="9" customFormat="1" ht="12">
      <c r="A36" s="29">
        <v>29</v>
      </c>
      <c r="B36" s="1" t="s">
        <v>70</v>
      </c>
      <c r="C36" s="8" t="s">
        <v>71</v>
      </c>
      <c r="D36" s="8" t="s">
        <v>16</v>
      </c>
      <c r="E36" s="8" t="s">
        <v>8</v>
      </c>
      <c r="F36" s="62">
        <v>801221</v>
      </c>
      <c r="G36" s="77"/>
      <c r="H36" s="62">
        <f t="shared" si="1"/>
        <v>801221</v>
      </c>
      <c r="I36" s="62"/>
      <c r="J36" s="62"/>
    </row>
    <row r="37" spans="1:10" s="9" customFormat="1" ht="12">
      <c r="A37" s="29">
        <v>30</v>
      </c>
      <c r="B37" s="1" t="s">
        <v>72</v>
      </c>
      <c r="C37" s="26" t="s">
        <v>73</v>
      </c>
      <c r="D37" s="26" t="s">
        <v>16</v>
      </c>
      <c r="E37" s="26" t="s">
        <v>540</v>
      </c>
      <c r="F37" s="62">
        <v>522016</v>
      </c>
      <c r="G37" s="61" t="s">
        <v>628</v>
      </c>
      <c r="H37" s="62">
        <f>F37+17979+223134</f>
        <v>763129</v>
      </c>
      <c r="I37" s="62"/>
      <c r="J37" s="62"/>
    </row>
    <row r="38" spans="1:10" s="9" customFormat="1" ht="12">
      <c r="A38" s="29">
        <v>31</v>
      </c>
      <c r="B38" s="1" t="s">
        <v>74</v>
      </c>
      <c r="C38" s="26" t="s">
        <v>75</v>
      </c>
      <c r="D38" s="26" t="s">
        <v>16</v>
      </c>
      <c r="E38" s="26" t="s">
        <v>8</v>
      </c>
      <c r="F38" s="62">
        <v>284418</v>
      </c>
      <c r="G38" s="61"/>
      <c r="H38" s="62">
        <f>F38</f>
        <v>284418</v>
      </c>
      <c r="I38" s="62"/>
      <c r="J38" s="62"/>
    </row>
    <row r="39" spans="1:10" s="9" customFormat="1" ht="24">
      <c r="A39" s="29">
        <v>32</v>
      </c>
      <c r="B39" s="1" t="s">
        <v>76</v>
      </c>
      <c r="C39" s="26" t="s">
        <v>531</v>
      </c>
      <c r="D39" s="26" t="s">
        <v>16</v>
      </c>
      <c r="E39" s="26" t="s">
        <v>540</v>
      </c>
      <c r="F39" s="62">
        <v>14538</v>
      </c>
      <c r="G39" s="61" t="s">
        <v>629</v>
      </c>
      <c r="H39" s="62">
        <f>F39+22473+100000</f>
        <v>137011</v>
      </c>
      <c r="I39" s="62"/>
      <c r="J39" s="62"/>
    </row>
    <row r="40" spans="1:10" s="9" customFormat="1" ht="12">
      <c r="A40" s="29">
        <v>33</v>
      </c>
      <c r="B40" s="1" t="s">
        <v>77</v>
      </c>
      <c r="C40" s="8" t="s">
        <v>78</v>
      </c>
      <c r="D40" s="8" t="s">
        <v>16</v>
      </c>
      <c r="E40" s="8" t="s">
        <v>8</v>
      </c>
      <c r="F40" s="62">
        <v>745922</v>
      </c>
      <c r="G40" s="77"/>
      <c r="H40" s="62">
        <f>F40</f>
        <v>745922</v>
      </c>
      <c r="I40" s="62"/>
      <c r="J40" s="62"/>
    </row>
    <row r="41" spans="1:10" s="9" customFormat="1" ht="12">
      <c r="A41" s="29">
        <v>34</v>
      </c>
      <c r="B41" s="1" t="s">
        <v>79</v>
      </c>
      <c r="C41" s="8" t="s">
        <v>80</v>
      </c>
      <c r="D41" s="8" t="s">
        <v>16</v>
      </c>
      <c r="E41" s="8" t="s">
        <v>8</v>
      </c>
      <c r="F41" s="62">
        <v>420152</v>
      </c>
      <c r="G41" s="77"/>
      <c r="H41" s="62">
        <f>F41</f>
        <v>420152</v>
      </c>
      <c r="I41" s="62"/>
      <c r="J41" s="62"/>
    </row>
    <row r="42" spans="1:10" s="9" customFormat="1" ht="12">
      <c r="A42" s="29">
        <v>35</v>
      </c>
      <c r="B42" s="1" t="s">
        <v>81</v>
      </c>
      <c r="C42" s="8" t="s">
        <v>82</v>
      </c>
      <c r="D42" s="8" t="s">
        <v>16</v>
      </c>
      <c r="E42" s="8" t="s">
        <v>8</v>
      </c>
      <c r="F42" s="62">
        <v>132825</v>
      </c>
      <c r="G42" s="77"/>
      <c r="H42" s="62">
        <f>F42</f>
        <v>132825</v>
      </c>
      <c r="I42" s="62"/>
      <c r="J42" s="62"/>
    </row>
    <row r="43" spans="1:10" s="9" customFormat="1" ht="12">
      <c r="A43" s="29">
        <v>36</v>
      </c>
      <c r="B43" s="1" t="s">
        <v>83</v>
      </c>
      <c r="C43" s="8" t="s">
        <v>84</v>
      </c>
      <c r="D43" s="8" t="s">
        <v>16</v>
      </c>
      <c r="E43" s="8" t="s">
        <v>8</v>
      </c>
      <c r="F43" s="62">
        <v>223923</v>
      </c>
      <c r="G43" s="77"/>
      <c r="H43" s="62">
        <f>F43</f>
        <v>223923</v>
      </c>
      <c r="I43" s="62"/>
      <c r="J43" s="62"/>
    </row>
    <row r="44" spans="1:10" s="9" customFormat="1" ht="24">
      <c r="A44" s="29">
        <v>37</v>
      </c>
      <c r="B44" s="1" t="s">
        <v>85</v>
      </c>
      <c r="C44" s="8" t="s">
        <v>86</v>
      </c>
      <c r="D44" s="8" t="s">
        <v>16</v>
      </c>
      <c r="E44" s="8" t="s">
        <v>8</v>
      </c>
      <c r="F44" s="62">
        <v>142090</v>
      </c>
      <c r="G44" s="77"/>
      <c r="H44" s="62">
        <f>F44</f>
        <v>142090</v>
      </c>
      <c r="I44" s="62"/>
      <c r="J44" s="62"/>
    </row>
    <row r="45" spans="1:10" s="9" customFormat="1" ht="12">
      <c r="A45" s="29">
        <v>38</v>
      </c>
      <c r="B45" s="1" t="s">
        <v>87</v>
      </c>
      <c r="C45" s="26" t="s">
        <v>88</v>
      </c>
      <c r="D45" s="26" t="s">
        <v>16</v>
      </c>
      <c r="E45" s="26" t="s">
        <v>522</v>
      </c>
      <c r="F45" s="62">
        <v>2713505</v>
      </c>
      <c r="G45" s="77" t="s">
        <v>556</v>
      </c>
      <c r="H45" s="62">
        <f>F45+4037+3780</f>
        <v>2721322</v>
      </c>
      <c r="I45" s="62"/>
      <c r="J45" s="62"/>
    </row>
    <row r="46" spans="1:10" s="9" customFormat="1" ht="24">
      <c r="A46" s="29">
        <v>39</v>
      </c>
      <c r="B46" s="1" t="s">
        <v>89</v>
      </c>
      <c r="C46" s="8" t="s">
        <v>90</v>
      </c>
      <c r="D46" s="8" t="s">
        <v>16</v>
      </c>
      <c r="E46" s="8" t="s">
        <v>8</v>
      </c>
      <c r="F46" s="62">
        <v>213713</v>
      </c>
      <c r="G46" s="77"/>
      <c r="H46" s="62">
        <f>F46</f>
        <v>213713</v>
      </c>
      <c r="I46" s="62"/>
      <c r="J46" s="62"/>
    </row>
    <row r="47" spans="1:10" s="9" customFormat="1" ht="12">
      <c r="A47" s="29">
        <v>40</v>
      </c>
      <c r="B47" s="1" t="s">
        <v>91</v>
      </c>
      <c r="C47" s="8" t="s">
        <v>92</v>
      </c>
      <c r="D47" s="8" t="s">
        <v>16</v>
      </c>
      <c r="E47" s="8" t="s">
        <v>8</v>
      </c>
      <c r="F47" s="62">
        <v>204012</v>
      </c>
      <c r="G47" s="77"/>
      <c r="H47" s="62">
        <f>F47</f>
        <v>204012</v>
      </c>
      <c r="I47" s="62"/>
      <c r="J47" s="62"/>
    </row>
    <row r="48" spans="1:10" s="9" customFormat="1" ht="24">
      <c r="A48" s="29">
        <v>41</v>
      </c>
      <c r="B48" s="32" t="s">
        <v>553</v>
      </c>
      <c r="C48" s="33" t="s">
        <v>554</v>
      </c>
      <c r="D48" s="33" t="s">
        <v>16</v>
      </c>
      <c r="E48" s="33" t="s">
        <v>8</v>
      </c>
      <c r="F48" s="78">
        <v>783076</v>
      </c>
      <c r="G48" s="79"/>
      <c r="H48" s="78">
        <f>F48</f>
        <v>783076</v>
      </c>
      <c r="I48" s="78"/>
      <c r="J48" s="78"/>
    </row>
    <row r="49" spans="1:10" s="9" customFormat="1" ht="12">
      <c r="A49" s="29">
        <v>42</v>
      </c>
      <c r="B49" s="1" t="s">
        <v>93</v>
      </c>
      <c r="C49" s="8" t="s">
        <v>94</v>
      </c>
      <c r="D49" s="8" t="s">
        <v>16</v>
      </c>
      <c r="E49" s="8" t="s">
        <v>8</v>
      </c>
      <c r="F49" s="62">
        <v>127624</v>
      </c>
      <c r="G49" s="77"/>
      <c r="H49" s="62">
        <f aca="true" t="shared" si="2" ref="H49:H55">F49</f>
        <v>127624</v>
      </c>
      <c r="I49" s="62"/>
      <c r="J49" s="62"/>
    </row>
    <row r="50" spans="1:10" s="9" customFormat="1" ht="12">
      <c r="A50" s="29">
        <v>43</v>
      </c>
      <c r="B50" s="1" t="s">
        <v>95</v>
      </c>
      <c r="C50" s="8" t="s">
        <v>96</v>
      </c>
      <c r="D50" s="8" t="s">
        <v>16</v>
      </c>
      <c r="E50" s="8" t="s">
        <v>8</v>
      </c>
      <c r="F50" s="62">
        <v>24230</v>
      </c>
      <c r="G50" s="77"/>
      <c r="H50" s="62">
        <f t="shared" si="2"/>
        <v>24230</v>
      </c>
      <c r="I50" s="62"/>
      <c r="J50" s="62"/>
    </row>
    <row r="51" spans="1:10" s="9" customFormat="1" ht="12">
      <c r="A51" s="29">
        <v>44</v>
      </c>
      <c r="B51" s="1" t="s">
        <v>97</v>
      </c>
      <c r="C51" s="8" t="s">
        <v>98</v>
      </c>
      <c r="D51" s="8" t="s">
        <v>16</v>
      </c>
      <c r="E51" s="8" t="s">
        <v>8</v>
      </c>
      <c r="F51" s="62">
        <v>85276</v>
      </c>
      <c r="G51" s="77"/>
      <c r="H51" s="62">
        <f t="shared" si="2"/>
        <v>85276</v>
      </c>
      <c r="I51" s="62"/>
      <c r="J51" s="62"/>
    </row>
    <row r="52" spans="1:10" s="9" customFormat="1" ht="24">
      <c r="A52" s="29">
        <v>45</v>
      </c>
      <c r="B52" s="1" t="s">
        <v>99</v>
      </c>
      <c r="C52" s="8" t="s">
        <v>100</v>
      </c>
      <c r="D52" s="8" t="s">
        <v>16</v>
      </c>
      <c r="E52" s="8" t="s">
        <v>8</v>
      </c>
      <c r="F52" s="62">
        <v>34890</v>
      </c>
      <c r="G52" s="77"/>
      <c r="H52" s="62">
        <f t="shared" si="2"/>
        <v>34890</v>
      </c>
      <c r="I52" s="62"/>
      <c r="J52" s="62"/>
    </row>
    <row r="53" spans="1:10" s="9" customFormat="1" ht="12">
      <c r="A53" s="29">
        <v>46</v>
      </c>
      <c r="B53" s="1" t="s">
        <v>101</v>
      </c>
      <c r="C53" s="8" t="s">
        <v>102</v>
      </c>
      <c r="D53" s="8" t="s">
        <v>16</v>
      </c>
      <c r="E53" s="8" t="s">
        <v>8</v>
      </c>
      <c r="F53" s="62">
        <v>20056830</v>
      </c>
      <c r="G53" s="77"/>
      <c r="H53" s="62">
        <f t="shared" si="2"/>
        <v>20056830</v>
      </c>
      <c r="I53" s="62"/>
      <c r="J53" s="62"/>
    </row>
    <row r="54" spans="1:10" s="9" customFormat="1" ht="12">
      <c r="A54" s="29">
        <v>47</v>
      </c>
      <c r="B54" s="1" t="s">
        <v>103</v>
      </c>
      <c r="C54" s="8" t="s">
        <v>104</v>
      </c>
      <c r="D54" s="8" t="s">
        <v>16</v>
      </c>
      <c r="E54" s="8" t="s">
        <v>8</v>
      </c>
      <c r="F54" s="62">
        <v>1546078</v>
      </c>
      <c r="G54" s="77"/>
      <c r="H54" s="62">
        <f t="shared" si="2"/>
        <v>1546078</v>
      </c>
      <c r="I54" s="62"/>
      <c r="J54" s="62"/>
    </row>
    <row r="55" spans="1:10" s="9" customFormat="1" ht="24">
      <c r="A55" s="29">
        <v>48</v>
      </c>
      <c r="B55" s="1" t="s">
        <v>105</v>
      </c>
      <c r="C55" s="8" t="s">
        <v>106</v>
      </c>
      <c r="D55" s="8" t="s">
        <v>16</v>
      </c>
      <c r="E55" s="8" t="s">
        <v>521</v>
      </c>
      <c r="F55" s="62">
        <v>27058</v>
      </c>
      <c r="G55" s="77"/>
      <c r="H55" s="62">
        <f t="shared" si="2"/>
        <v>27058</v>
      </c>
      <c r="I55" s="62"/>
      <c r="J55" s="62"/>
    </row>
    <row r="56" spans="1:10" s="9" customFormat="1" ht="24">
      <c r="A56" s="29">
        <v>49</v>
      </c>
      <c r="B56" s="25" t="s">
        <v>107</v>
      </c>
      <c r="C56" s="26" t="s">
        <v>108</v>
      </c>
      <c r="D56" s="26" t="s">
        <v>16</v>
      </c>
      <c r="E56" s="26" t="s">
        <v>540</v>
      </c>
      <c r="F56" s="62">
        <v>328872</v>
      </c>
      <c r="G56" s="73" t="s">
        <v>630</v>
      </c>
      <c r="H56" s="62">
        <f>F56+309796+7400</f>
        <v>646068</v>
      </c>
      <c r="I56" s="62"/>
      <c r="J56" s="62"/>
    </row>
    <row r="57" spans="1:10" s="9" customFormat="1" ht="12">
      <c r="A57" s="29">
        <v>50</v>
      </c>
      <c r="B57" s="1" t="s">
        <v>109</v>
      </c>
      <c r="C57" s="8" t="s">
        <v>110</v>
      </c>
      <c r="D57" s="8" t="s">
        <v>16</v>
      </c>
      <c r="E57" s="8" t="s">
        <v>8</v>
      </c>
      <c r="F57" s="62">
        <v>1139815</v>
      </c>
      <c r="G57" s="77"/>
      <c r="H57" s="62">
        <f aca="true" t="shared" si="3" ref="H57:H66">F57</f>
        <v>1139815</v>
      </c>
      <c r="I57" s="62"/>
      <c r="J57" s="62"/>
    </row>
    <row r="58" spans="1:10" s="9" customFormat="1" ht="12">
      <c r="A58" s="29">
        <v>51</v>
      </c>
      <c r="B58" s="1" t="s">
        <v>111</v>
      </c>
      <c r="C58" s="8" t="s">
        <v>112</v>
      </c>
      <c r="D58" s="8" t="s">
        <v>16</v>
      </c>
      <c r="E58" s="8" t="s">
        <v>8</v>
      </c>
      <c r="F58" s="62">
        <v>593176</v>
      </c>
      <c r="G58" s="80"/>
      <c r="H58" s="62">
        <f t="shared" si="3"/>
        <v>593176</v>
      </c>
      <c r="I58" s="62"/>
      <c r="J58" s="62"/>
    </row>
    <row r="59" spans="1:10" s="9" customFormat="1" ht="12">
      <c r="A59" s="29">
        <v>52</v>
      </c>
      <c r="B59" s="1" t="s">
        <v>113</v>
      </c>
      <c r="C59" s="8" t="s">
        <v>114</v>
      </c>
      <c r="D59" s="8" t="s">
        <v>16</v>
      </c>
      <c r="E59" s="8" t="s">
        <v>8</v>
      </c>
      <c r="F59" s="62">
        <v>1322218</v>
      </c>
      <c r="G59" s="81"/>
      <c r="H59" s="62">
        <f t="shared" si="3"/>
        <v>1322218</v>
      </c>
      <c r="I59" s="62"/>
      <c r="J59" s="62"/>
    </row>
    <row r="60" spans="1:10" s="9" customFormat="1" ht="24">
      <c r="A60" s="29">
        <v>53</v>
      </c>
      <c r="B60" s="1" t="s">
        <v>115</v>
      </c>
      <c r="C60" s="8" t="s">
        <v>503</v>
      </c>
      <c r="D60" s="8" t="s">
        <v>16</v>
      </c>
      <c r="E60" s="8" t="s">
        <v>8</v>
      </c>
      <c r="F60" s="62">
        <v>65615</v>
      </c>
      <c r="G60" s="77"/>
      <c r="H60" s="62">
        <f t="shared" si="3"/>
        <v>65615</v>
      </c>
      <c r="I60" s="62"/>
      <c r="J60" s="62"/>
    </row>
    <row r="61" spans="1:10" s="9" customFormat="1" ht="12">
      <c r="A61" s="29">
        <v>54</v>
      </c>
      <c r="B61" s="1" t="s">
        <v>116</v>
      </c>
      <c r="C61" s="8" t="s">
        <v>117</v>
      </c>
      <c r="D61" s="8" t="s">
        <v>16</v>
      </c>
      <c r="E61" s="8" t="s">
        <v>8</v>
      </c>
      <c r="F61" s="62">
        <v>696910</v>
      </c>
      <c r="G61" s="77"/>
      <c r="H61" s="62">
        <f t="shared" si="3"/>
        <v>696910</v>
      </c>
      <c r="I61" s="62"/>
      <c r="J61" s="62"/>
    </row>
    <row r="62" spans="1:10" s="9" customFormat="1" ht="24">
      <c r="A62" s="29">
        <v>55</v>
      </c>
      <c r="B62" s="32" t="s">
        <v>582</v>
      </c>
      <c r="C62" s="33" t="s">
        <v>583</v>
      </c>
      <c r="D62" s="31" t="s">
        <v>585</v>
      </c>
      <c r="E62" s="33" t="s">
        <v>8</v>
      </c>
      <c r="F62" s="78">
        <v>566208</v>
      </c>
      <c r="G62" s="79"/>
      <c r="H62" s="78">
        <f>F62</f>
        <v>566208</v>
      </c>
      <c r="I62" s="78"/>
      <c r="J62" s="78"/>
    </row>
    <row r="63" spans="1:10" s="9" customFormat="1" ht="12">
      <c r="A63" s="29">
        <v>56</v>
      </c>
      <c r="B63" s="1" t="s">
        <v>118</v>
      </c>
      <c r="C63" s="8" t="s">
        <v>119</v>
      </c>
      <c r="D63" s="8" t="s">
        <v>16</v>
      </c>
      <c r="E63" s="8" t="s">
        <v>8</v>
      </c>
      <c r="F63" s="62">
        <v>24938</v>
      </c>
      <c r="G63" s="77"/>
      <c r="H63" s="62">
        <f t="shared" si="3"/>
        <v>24938</v>
      </c>
      <c r="I63" s="62"/>
      <c r="J63" s="62"/>
    </row>
    <row r="64" spans="1:10" s="9" customFormat="1" ht="12">
      <c r="A64" s="29">
        <v>57</v>
      </c>
      <c r="B64" s="1" t="s">
        <v>120</v>
      </c>
      <c r="C64" s="8" t="s">
        <v>121</v>
      </c>
      <c r="D64" s="8" t="s">
        <v>16</v>
      </c>
      <c r="E64" s="8" t="s">
        <v>8</v>
      </c>
      <c r="F64" s="62">
        <v>1580756</v>
      </c>
      <c r="G64" s="77"/>
      <c r="H64" s="62">
        <f t="shared" si="3"/>
        <v>1580756</v>
      </c>
      <c r="I64" s="62"/>
      <c r="J64" s="62"/>
    </row>
    <row r="65" spans="1:10" s="9" customFormat="1" ht="24">
      <c r="A65" s="29">
        <v>58</v>
      </c>
      <c r="B65" s="1" t="s">
        <v>122</v>
      </c>
      <c r="C65" s="8" t="s">
        <v>123</v>
      </c>
      <c r="D65" s="8" t="s">
        <v>16</v>
      </c>
      <c r="E65" s="8" t="s">
        <v>8</v>
      </c>
      <c r="F65" s="62">
        <v>130839</v>
      </c>
      <c r="G65" s="77"/>
      <c r="H65" s="62">
        <f t="shared" si="3"/>
        <v>130839</v>
      </c>
      <c r="I65" s="62"/>
      <c r="J65" s="62"/>
    </row>
    <row r="66" spans="1:10" s="9" customFormat="1" ht="12">
      <c r="A66" s="29">
        <v>59</v>
      </c>
      <c r="B66" s="1" t="s">
        <v>124</v>
      </c>
      <c r="C66" s="8" t="s">
        <v>125</v>
      </c>
      <c r="D66" s="8" t="s">
        <v>16</v>
      </c>
      <c r="E66" s="8" t="s">
        <v>8</v>
      </c>
      <c r="F66" s="62">
        <v>96086</v>
      </c>
      <c r="G66" s="77"/>
      <c r="H66" s="62">
        <f t="shared" si="3"/>
        <v>96086</v>
      </c>
      <c r="I66" s="62"/>
      <c r="J66" s="62"/>
    </row>
    <row r="67" spans="1:10" s="9" customFormat="1" ht="12">
      <c r="A67" s="29">
        <v>60</v>
      </c>
      <c r="B67" s="1" t="s">
        <v>126</v>
      </c>
      <c r="C67" s="8" t="s">
        <v>127</v>
      </c>
      <c r="D67" s="8" t="s">
        <v>16</v>
      </c>
      <c r="E67" s="8" t="s">
        <v>8</v>
      </c>
      <c r="F67" s="62">
        <v>34202284</v>
      </c>
      <c r="G67" s="77"/>
      <c r="H67" s="62">
        <f>F67</f>
        <v>34202284</v>
      </c>
      <c r="I67" s="62"/>
      <c r="J67" s="62"/>
    </row>
    <row r="68" spans="1:10" s="9" customFormat="1" ht="24">
      <c r="A68" s="29">
        <v>61</v>
      </c>
      <c r="B68" s="1" t="s">
        <v>128</v>
      </c>
      <c r="C68" s="8" t="s">
        <v>129</v>
      </c>
      <c r="D68" s="8" t="s">
        <v>16</v>
      </c>
      <c r="E68" s="8" t="s">
        <v>8</v>
      </c>
      <c r="F68" s="62">
        <v>2226006</v>
      </c>
      <c r="G68" s="104"/>
      <c r="H68" s="62">
        <f>F68</f>
        <v>2226006</v>
      </c>
      <c r="I68" s="97"/>
      <c r="J68" s="97"/>
    </row>
    <row r="69" spans="1:10" s="9" customFormat="1" ht="24">
      <c r="A69" s="29">
        <v>62</v>
      </c>
      <c r="B69" s="32" t="s">
        <v>586</v>
      </c>
      <c r="C69" s="33" t="s">
        <v>584</v>
      </c>
      <c r="D69" s="31" t="s">
        <v>536</v>
      </c>
      <c r="E69" s="33" t="s">
        <v>8</v>
      </c>
      <c r="F69" s="78">
        <v>12905938</v>
      </c>
      <c r="G69" s="79"/>
      <c r="H69" s="78">
        <f>F69</f>
        <v>12905938</v>
      </c>
      <c r="I69" s="78"/>
      <c r="J69" s="78"/>
    </row>
    <row r="70" spans="1:10" s="9" customFormat="1" ht="12">
      <c r="A70" s="29">
        <v>63</v>
      </c>
      <c r="B70" s="25" t="s">
        <v>130</v>
      </c>
      <c r="C70" s="35" t="s">
        <v>131</v>
      </c>
      <c r="D70" s="26" t="s">
        <v>16</v>
      </c>
      <c r="E70" s="26" t="s">
        <v>540</v>
      </c>
      <c r="F70" s="62">
        <v>280398</v>
      </c>
      <c r="G70" s="63" t="s">
        <v>631</v>
      </c>
      <c r="H70" s="62">
        <f>F70+256378</f>
        <v>536776</v>
      </c>
      <c r="I70" s="62"/>
      <c r="J70" s="62"/>
    </row>
    <row r="71" spans="1:10" s="9" customFormat="1" ht="24">
      <c r="A71" s="29">
        <v>64</v>
      </c>
      <c r="B71" s="1" t="s">
        <v>132</v>
      </c>
      <c r="C71" s="8" t="s">
        <v>133</v>
      </c>
      <c r="D71" s="8" t="s">
        <v>16</v>
      </c>
      <c r="E71" s="8" t="s">
        <v>8</v>
      </c>
      <c r="F71" s="62">
        <v>5898049</v>
      </c>
      <c r="G71" s="77"/>
      <c r="H71" s="62">
        <f>F71</f>
        <v>5898049</v>
      </c>
      <c r="I71" s="62"/>
      <c r="J71" s="62"/>
    </row>
    <row r="72" spans="1:10" s="9" customFormat="1" ht="24">
      <c r="A72" s="29">
        <v>65</v>
      </c>
      <c r="B72" s="1" t="s">
        <v>134</v>
      </c>
      <c r="C72" s="26" t="s">
        <v>135</v>
      </c>
      <c r="D72" s="26" t="s">
        <v>16</v>
      </c>
      <c r="E72" s="26" t="s">
        <v>136</v>
      </c>
      <c r="F72" s="62">
        <v>0</v>
      </c>
      <c r="G72" s="63" t="s">
        <v>501</v>
      </c>
      <c r="H72" s="62">
        <f>F72</f>
        <v>0</v>
      </c>
      <c r="I72" s="62"/>
      <c r="J72" s="62">
        <v>48000</v>
      </c>
    </row>
    <row r="73" spans="1:10" s="9" customFormat="1" ht="12">
      <c r="A73" s="29">
        <v>66</v>
      </c>
      <c r="B73" s="1" t="s">
        <v>137</v>
      </c>
      <c r="C73" s="8" t="s">
        <v>138</v>
      </c>
      <c r="D73" s="8" t="s">
        <v>16</v>
      </c>
      <c r="E73" s="8" t="s">
        <v>8</v>
      </c>
      <c r="F73" s="76">
        <v>477036</v>
      </c>
      <c r="G73" s="62"/>
      <c r="H73" s="62">
        <f aca="true" t="shared" si="4" ref="H73:H82">F73</f>
        <v>477036</v>
      </c>
      <c r="I73" s="62"/>
      <c r="J73" s="62"/>
    </row>
    <row r="74" spans="1:10" s="9" customFormat="1" ht="24">
      <c r="A74" s="29">
        <v>67</v>
      </c>
      <c r="B74" s="1" t="s">
        <v>139</v>
      </c>
      <c r="C74" s="8" t="s">
        <v>140</v>
      </c>
      <c r="D74" s="8" t="s">
        <v>16</v>
      </c>
      <c r="E74" s="8" t="s">
        <v>8</v>
      </c>
      <c r="F74" s="76">
        <v>65800</v>
      </c>
      <c r="G74" s="77"/>
      <c r="H74" s="62">
        <f t="shared" si="4"/>
        <v>65800</v>
      </c>
      <c r="I74" s="62"/>
      <c r="J74" s="62"/>
    </row>
    <row r="75" spans="1:10" s="9" customFormat="1" ht="24">
      <c r="A75" s="29">
        <v>68</v>
      </c>
      <c r="B75" s="32" t="s">
        <v>587</v>
      </c>
      <c r="C75" s="33" t="s">
        <v>588</v>
      </c>
      <c r="D75" s="31" t="s">
        <v>539</v>
      </c>
      <c r="E75" s="33" t="s">
        <v>8</v>
      </c>
      <c r="F75" s="82">
        <v>325461</v>
      </c>
      <c r="G75" s="79"/>
      <c r="H75" s="78">
        <f>F75</f>
        <v>325461</v>
      </c>
      <c r="I75" s="78"/>
      <c r="J75" s="78"/>
    </row>
    <row r="76" spans="1:10" s="9" customFormat="1" ht="24">
      <c r="A76" s="29">
        <v>69</v>
      </c>
      <c r="B76" s="32" t="s">
        <v>589</v>
      </c>
      <c r="C76" s="33" t="s">
        <v>592</v>
      </c>
      <c r="D76" s="31" t="s">
        <v>538</v>
      </c>
      <c r="E76" s="33" t="s">
        <v>8</v>
      </c>
      <c r="F76" s="82">
        <v>320169</v>
      </c>
      <c r="G76" s="79"/>
      <c r="H76" s="78">
        <f>F76</f>
        <v>320169</v>
      </c>
      <c r="I76" s="78"/>
      <c r="J76" s="78"/>
    </row>
    <row r="77" spans="1:10" s="9" customFormat="1" ht="24">
      <c r="A77" s="29">
        <v>70</v>
      </c>
      <c r="B77" s="32" t="s">
        <v>590</v>
      </c>
      <c r="C77" s="33" t="s">
        <v>593</v>
      </c>
      <c r="D77" s="31" t="s">
        <v>539</v>
      </c>
      <c r="E77" s="33" t="s">
        <v>8</v>
      </c>
      <c r="F77" s="82">
        <v>298461</v>
      </c>
      <c r="G77" s="79"/>
      <c r="H77" s="78">
        <f>F77</f>
        <v>298461</v>
      </c>
      <c r="I77" s="78"/>
      <c r="J77" s="78"/>
    </row>
    <row r="78" spans="1:10" s="9" customFormat="1" ht="48">
      <c r="A78" s="29">
        <v>71</v>
      </c>
      <c r="B78" s="56" t="s">
        <v>591</v>
      </c>
      <c r="C78" s="12" t="s">
        <v>594</v>
      </c>
      <c r="D78" s="12" t="s">
        <v>497</v>
      </c>
      <c r="E78" s="12" t="s">
        <v>8</v>
      </c>
      <c r="F78" s="83">
        <v>19227</v>
      </c>
      <c r="G78" s="84"/>
      <c r="H78" s="70">
        <f t="shared" si="4"/>
        <v>19227</v>
      </c>
      <c r="I78" s="70"/>
      <c r="J78" s="70"/>
    </row>
    <row r="79" spans="1:10" s="9" customFormat="1" ht="12">
      <c r="A79" s="29">
        <v>72</v>
      </c>
      <c r="B79" s="1" t="s">
        <v>141</v>
      </c>
      <c r="C79" s="8" t="s">
        <v>142</v>
      </c>
      <c r="D79" s="8" t="s">
        <v>16</v>
      </c>
      <c r="E79" s="8" t="s">
        <v>8</v>
      </c>
      <c r="F79" s="62">
        <v>1482967</v>
      </c>
      <c r="G79" s="77"/>
      <c r="H79" s="62">
        <f t="shared" si="4"/>
        <v>1482967</v>
      </c>
      <c r="I79" s="62"/>
      <c r="J79" s="62"/>
    </row>
    <row r="80" spans="1:10" s="9" customFormat="1" ht="12">
      <c r="A80" s="29">
        <v>73</v>
      </c>
      <c r="B80" s="1" t="s">
        <v>143</v>
      </c>
      <c r="C80" s="8" t="s">
        <v>144</v>
      </c>
      <c r="D80" s="8" t="s">
        <v>16</v>
      </c>
      <c r="E80" s="8" t="s">
        <v>570</v>
      </c>
      <c r="F80" s="62">
        <v>398612</v>
      </c>
      <c r="G80" s="77"/>
      <c r="H80" s="62">
        <f t="shared" si="4"/>
        <v>398612</v>
      </c>
      <c r="I80" s="62"/>
      <c r="J80" s="62"/>
    </row>
    <row r="81" spans="1:10" s="9" customFormat="1" ht="36">
      <c r="A81" s="29">
        <v>74</v>
      </c>
      <c r="B81" s="1" t="s">
        <v>145</v>
      </c>
      <c r="C81" s="8" t="s">
        <v>146</v>
      </c>
      <c r="D81" s="8" t="s">
        <v>16</v>
      </c>
      <c r="E81" s="8" t="s">
        <v>8</v>
      </c>
      <c r="F81" s="86">
        <v>386684</v>
      </c>
      <c r="G81" s="77"/>
      <c r="H81" s="62">
        <f t="shared" si="4"/>
        <v>386684</v>
      </c>
      <c r="I81" s="62"/>
      <c r="J81" s="62"/>
    </row>
    <row r="82" spans="1:10" s="9" customFormat="1" ht="24">
      <c r="A82" s="29">
        <v>75</v>
      </c>
      <c r="B82" s="1" t="s">
        <v>147</v>
      </c>
      <c r="C82" s="8" t="s">
        <v>148</v>
      </c>
      <c r="D82" s="8" t="s">
        <v>16</v>
      </c>
      <c r="E82" s="85" t="s">
        <v>136</v>
      </c>
      <c r="F82" s="87">
        <v>0</v>
      </c>
      <c r="G82" s="105" t="s">
        <v>549</v>
      </c>
      <c r="H82" s="62">
        <f t="shared" si="4"/>
        <v>0</v>
      </c>
      <c r="I82" s="62"/>
      <c r="J82" s="62">
        <v>796020</v>
      </c>
    </row>
    <row r="83" spans="1:10" s="9" customFormat="1" ht="12">
      <c r="A83" s="29">
        <v>76</v>
      </c>
      <c r="B83" s="1" t="s">
        <v>149</v>
      </c>
      <c r="C83" s="8" t="s">
        <v>150</v>
      </c>
      <c r="D83" s="8" t="s">
        <v>16</v>
      </c>
      <c r="E83" s="85" t="s">
        <v>8</v>
      </c>
      <c r="F83" s="88">
        <v>169122</v>
      </c>
      <c r="G83" s="106"/>
      <c r="H83" s="62">
        <f>F83</f>
        <v>169122</v>
      </c>
      <c r="I83" s="62"/>
      <c r="J83" s="62"/>
    </row>
    <row r="84" spans="1:10" s="9" customFormat="1" ht="12">
      <c r="A84" s="29">
        <v>77</v>
      </c>
      <c r="B84" s="1" t="s">
        <v>151</v>
      </c>
      <c r="C84" s="26" t="s">
        <v>530</v>
      </c>
      <c r="D84" s="26" t="s">
        <v>16</v>
      </c>
      <c r="E84" s="26" t="s">
        <v>559</v>
      </c>
      <c r="F84" s="88">
        <v>660918</v>
      </c>
      <c r="G84" s="61" t="s">
        <v>613</v>
      </c>
      <c r="H84" s="62">
        <f>F84+476489+2053024</f>
        <v>3190431</v>
      </c>
      <c r="I84" s="62"/>
      <c r="J84" s="62"/>
    </row>
    <row r="85" spans="1:10" s="9" customFormat="1" ht="12">
      <c r="A85" s="29">
        <v>78</v>
      </c>
      <c r="B85" s="1" t="s">
        <v>152</v>
      </c>
      <c r="C85" s="26" t="s">
        <v>504</v>
      </c>
      <c r="D85" s="26" t="s">
        <v>16</v>
      </c>
      <c r="E85" s="26" t="s">
        <v>559</v>
      </c>
      <c r="F85" s="62">
        <v>210983</v>
      </c>
      <c r="G85" s="61" t="s">
        <v>560</v>
      </c>
      <c r="H85" s="62">
        <f>F85+78000</f>
        <v>288983</v>
      </c>
      <c r="I85" s="62"/>
      <c r="J85" s="62"/>
    </row>
    <row r="86" spans="1:10" s="27" customFormat="1" ht="24">
      <c r="A86" s="29">
        <v>79</v>
      </c>
      <c r="B86" s="57" t="s">
        <v>534</v>
      </c>
      <c r="C86" s="58" t="s">
        <v>564</v>
      </c>
      <c r="D86" s="26" t="s">
        <v>497</v>
      </c>
      <c r="E86" s="26" t="s">
        <v>8</v>
      </c>
      <c r="F86" s="89">
        <v>131866</v>
      </c>
      <c r="G86" s="58"/>
      <c r="H86" s="67">
        <f>F86</f>
        <v>131866</v>
      </c>
      <c r="I86" s="58"/>
      <c r="J86" s="58"/>
    </row>
    <row r="87" spans="1:10" s="9" customFormat="1" ht="12">
      <c r="A87" s="29">
        <v>80</v>
      </c>
      <c r="B87" s="1" t="s">
        <v>153</v>
      </c>
      <c r="C87" s="8" t="s">
        <v>561</v>
      </c>
      <c r="D87" s="8" t="s">
        <v>16</v>
      </c>
      <c r="E87" s="26" t="s">
        <v>566</v>
      </c>
      <c r="F87" s="62">
        <v>963259</v>
      </c>
      <c r="G87" s="61" t="s">
        <v>576</v>
      </c>
      <c r="H87" s="62">
        <f>F87+350000</f>
        <v>1313259</v>
      </c>
      <c r="I87" s="62"/>
      <c r="J87" s="62"/>
    </row>
    <row r="88" spans="1:10" s="9" customFormat="1" ht="12">
      <c r="A88" s="29">
        <v>81</v>
      </c>
      <c r="B88" s="1" t="s">
        <v>154</v>
      </c>
      <c r="C88" s="26" t="s">
        <v>155</v>
      </c>
      <c r="D88" s="26" t="s">
        <v>16</v>
      </c>
      <c r="E88" s="26" t="s">
        <v>566</v>
      </c>
      <c r="F88" s="62">
        <v>182032</v>
      </c>
      <c r="G88" s="61" t="s">
        <v>568</v>
      </c>
      <c r="H88" s="62">
        <f>F88+1968</f>
        <v>184000</v>
      </c>
      <c r="I88" s="62"/>
      <c r="J88" s="62"/>
    </row>
    <row r="89" spans="1:10" s="9" customFormat="1" ht="12">
      <c r="A89" s="29">
        <v>82</v>
      </c>
      <c r="B89" s="1" t="s">
        <v>156</v>
      </c>
      <c r="C89" s="26" t="s">
        <v>157</v>
      </c>
      <c r="D89" s="26" t="s">
        <v>16</v>
      </c>
      <c r="E89" s="26" t="s">
        <v>8</v>
      </c>
      <c r="F89" s="62">
        <v>80922</v>
      </c>
      <c r="G89" s="61"/>
      <c r="H89" s="62">
        <f>F89</f>
        <v>80922</v>
      </c>
      <c r="I89" s="62"/>
      <c r="J89" s="62"/>
    </row>
    <row r="90" spans="1:10" s="9" customFormat="1" ht="12">
      <c r="A90" s="29">
        <v>83</v>
      </c>
      <c r="B90" s="1" t="s">
        <v>158</v>
      </c>
      <c r="C90" s="26" t="s">
        <v>159</v>
      </c>
      <c r="D90" s="26" t="s">
        <v>16</v>
      </c>
      <c r="E90" s="26" t="s">
        <v>567</v>
      </c>
      <c r="F90" s="62">
        <v>0</v>
      </c>
      <c r="G90" s="61" t="s">
        <v>569</v>
      </c>
      <c r="H90" s="62">
        <f>F90+2625</f>
        <v>2625</v>
      </c>
      <c r="I90" s="62"/>
      <c r="J90" s="62"/>
    </row>
    <row r="91" spans="1:16" ht="24">
      <c r="A91" s="29">
        <v>84</v>
      </c>
      <c r="B91" s="1" t="s">
        <v>160</v>
      </c>
      <c r="C91" s="26" t="s">
        <v>161</v>
      </c>
      <c r="D91" s="26" t="s">
        <v>16</v>
      </c>
      <c r="E91" s="26" t="s">
        <v>8</v>
      </c>
      <c r="F91" s="62">
        <v>81507</v>
      </c>
      <c r="G91" s="77"/>
      <c r="H91" s="62">
        <f aca="true" t="shared" si="5" ref="H91:H97">F91</f>
        <v>81507</v>
      </c>
      <c r="I91" s="62"/>
      <c r="J91" s="62"/>
      <c r="K91" s="16"/>
      <c r="L91" s="16"/>
      <c r="M91" s="16"/>
      <c r="N91" s="16"/>
      <c r="O91" s="16"/>
      <c r="P91" s="16"/>
    </row>
    <row r="92" spans="1:16" ht="12">
      <c r="A92" s="29">
        <v>85</v>
      </c>
      <c r="B92" s="1" t="s">
        <v>162</v>
      </c>
      <c r="C92" s="8" t="s">
        <v>163</v>
      </c>
      <c r="D92" s="8" t="s">
        <v>16</v>
      </c>
      <c r="E92" s="8" t="s">
        <v>8</v>
      </c>
      <c r="F92" s="62">
        <v>85028</v>
      </c>
      <c r="G92" s="77"/>
      <c r="H92" s="62">
        <f t="shared" si="5"/>
        <v>85028</v>
      </c>
      <c r="I92" s="62"/>
      <c r="J92" s="62"/>
      <c r="K92" s="16"/>
      <c r="L92" s="16"/>
      <c r="M92" s="16"/>
      <c r="N92" s="16"/>
      <c r="O92" s="16"/>
      <c r="P92" s="16"/>
    </row>
    <row r="93" spans="1:16" ht="12">
      <c r="A93" s="29">
        <v>86</v>
      </c>
      <c r="B93" s="1" t="s">
        <v>164</v>
      </c>
      <c r="C93" s="8" t="s">
        <v>165</v>
      </c>
      <c r="D93" s="8" t="s">
        <v>16</v>
      </c>
      <c r="E93" s="8" t="s">
        <v>8</v>
      </c>
      <c r="F93" s="62">
        <v>394185</v>
      </c>
      <c r="G93" s="77"/>
      <c r="H93" s="62">
        <f t="shared" si="5"/>
        <v>394185</v>
      </c>
      <c r="I93" s="62"/>
      <c r="J93" s="62"/>
      <c r="K93" s="16"/>
      <c r="L93" s="16"/>
      <c r="M93" s="16"/>
      <c r="N93" s="16"/>
      <c r="O93" s="16"/>
      <c r="P93" s="16"/>
    </row>
    <row r="94" spans="1:16" ht="24">
      <c r="A94" s="29">
        <v>87</v>
      </c>
      <c r="B94" s="32" t="s">
        <v>596</v>
      </c>
      <c r="C94" s="33" t="s">
        <v>595</v>
      </c>
      <c r="D94" s="31" t="s">
        <v>537</v>
      </c>
      <c r="E94" s="33" t="s">
        <v>567</v>
      </c>
      <c r="F94" s="82">
        <v>0</v>
      </c>
      <c r="G94" s="79" t="s">
        <v>658</v>
      </c>
      <c r="H94" s="78">
        <f>F94+145000</f>
        <v>145000</v>
      </c>
      <c r="I94" s="78"/>
      <c r="J94" s="78"/>
      <c r="K94" s="16"/>
      <c r="L94" s="16"/>
      <c r="M94" s="16"/>
      <c r="N94" s="16"/>
      <c r="O94" s="16"/>
      <c r="P94" s="16"/>
    </row>
    <row r="95" spans="1:16" ht="12">
      <c r="A95" s="29">
        <v>88</v>
      </c>
      <c r="B95" s="25" t="s">
        <v>485</v>
      </c>
      <c r="C95" s="26" t="s">
        <v>486</v>
      </c>
      <c r="D95" s="8" t="s">
        <v>16</v>
      </c>
      <c r="E95" s="26" t="s">
        <v>8</v>
      </c>
      <c r="F95" s="67">
        <v>48759</v>
      </c>
      <c r="G95" s="90"/>
      <c r="H95" s="67">
        <f t="shared" si="5"/>
        <v>48759</v>
      </c>
      <c r="I95" s="67"/>
      <c r="J95" s="67"/>
      <c r="K95" s="16"/>
      <c r="L95" s="16"/>
      <c r="M95" s="16"/>
      <c r="N95" s="16"/>
      <c r="O95" s="16"/>
      <c r="P95" s="16"/>
    </row>
    <row r="96" spans="1:16" ht="12">
      <c r="A96" s="29">
        <v>89</v>
      </c>
      <c r="B96" s="25" t="s">
        <v>506</v>
      </c>
      <c r="C96" s="26" t="s">
        <v>507</v>
      </c>
      <c r="D96" s="8" t="s">
        <v>16</v>
      </c>
      <c r="E96" s="26" t="s">
        <v>8</v>
      </c>
      <c r="F96" s="67">
        <v>80829</v>
      </c>
      <c r="G96" s="90"/>
      <c r="H96" s="67">
        <f t="shared" si="5"/>
        <v>80829</v>
      </c>
      <c r="I96" s="67"/>
      <c r="J96" s="67"/>
      <c r="K96" s="16"/>
      <c r="L96" s="16"/>
      <c r="M96" s="16"/>
      <c r="N96" s="16"/>
      <c r="O96" s="16"/>
      <c r="P96" s="16"/>
    </row>
    <row r="97" spans="1:16" ht="12">
      <c r="A97" s="29">
        <v>90</v>
      </c>
      <c r="B97" s="1" t="s">
        <v>166</v>
      </c>
      <c r="C97" s="8" t="s">
        <v>662</v>
      </c>
      <c r="D97" s="8" t="s">
        <v>16</v>
      </c>
      <c r="E97" s="8" t="s">
        <v>8</v>
      </c>
      <c r="F97" s="62">
        <v>105641</v>
      </c>
      <c r="G97" s="61"/>
      <c r="H97" s="62">
        <f t="shared" si="5"/>
        <v>105641</v>
      </c>
      <c r="I97" s="62"/>
      <c r="J97" s="62"/>
      <c r="K97" s="16"/>
      <c r="L97" s="16"/>
      <c r="M97" s="16"/>
      <c r="N97" s="16"/>
      <c r="O97" s="16"/>
      <c r="P97" s="16"/>
    </row>
    <row r="98" spans="1:16" ht="24">
      <c r="A98" s="29">
        <v>91</v>
      </c>
      <c r="B98" s="1" t="s">
        <v>167</v>
      </c>
      <c r="C98" s="26" t="s">
        <v>168</v>
      </c>
      <c r="D98" s="8" t="s">
        <v>16</v>
      </c>
      <c r="E98" s="26" t="s">
        <v>524</v>
      </c>
      <c r="F98" s="62">
        <v>0</v>
      </c>
      <c r="G98" s="74" t="s">
        <v>632</v>
      </c>
      <c r="H98" s="62">
        <f>F98+8737+6153532+2216948</f>
        <v>8379217</v>
      </c>
      <c r="I98" s="62"/>
      <c r="J98" s="62"/>
      <c r="K98" s="16"/>
      <c r="L98" s="16"/>
      <c r="M98" s="16"/>
      <c r="N98" s="16"/>
      <c r="O98" s="16"/>
      <c r="P98" s="16"/>
    </row>
    <row r="99" spans="1:16" ht="12">
      <c r="A99" s="29">
        <v>92</v>
      </c>
      <c r="B99" s="1" t="s">
        <v>169</v>
      </c>
      <c r="C99" s="26" t="s">
        <v>170</v>
      </c>
      <c r="D99" s="26" t="s">
        <v>16</v>
      </c>
      <c r="E99" s="26" t="s">
        <v>171</v>
      </c>
      <c r="F99" s="62">
        <v>0</v>
      </c>
      <c r="G99" s="75" t="s">
        <v>552</v>
      </c>
      <c r="H99" s="62">
        <v>397690</v>
      </c>
      <c r="I99" s="62"/>
      <c r="J99" s="62"/>
      <c r="K99" s="16"/>
      <c r="L99" s="16"/>
      <c r="M99" s="16"/>
      <c r="N99" s="16"/>
      <c r="O99" s="16"/>
      <c r="P99" s="16"/>
    </row>
    <row r="100" spans="1:16" ht="24">
      <c r="A100" s="29">
        <v>93</v>
      </c>
      <c r="B100" s="1" t="s">
        <v>172</v>
      </c>
      <c r="C100" s="26" t="s">
        <v>173</v>
      </c>
      <c r="D100" s="26" t="s">
        <v>16</v>
      </c>
      <c r="E100" s="26" t="s">
        <v>524</v>
      </c>
      <c r="F100" s="62">
        <v>0</v>
      </c>
      <c r="G100" s="74" t="s">
        <v>633</v>
      </c>
      <c r="H100" s="62">
        <f>F100+13441+140162+128159</f>
        <v>281762</v>
      </c>
      <c r="I100" s="62"/>
      <c r="J100" s="62"/>
      <c r="K100" s="16"/>
      <c r="L100" s="16"/>
      <c r="M100" s="16"/>
      <c r="N100" s="16"/>
      <c r="O100" s="16"/>
      <c r="P100" s="16"/>
    </row>
    <row r="101" spans="1:16" ht="12">
      <c r="A101" s="29">
        <v>94</v>
      </c>
      <c r="B101" s="1" t="s">
        <v>174</v>
      </c>
      <c r="C101" s="26" t="s">
        <v>175</v>
      </c>
      <c r="D101" s="26" t="s">
        <v>16</v>
      </c>
      <c r="E101" s="26" t="s">
        <v>171</v>
      </c>
      <c r="F101" s="62">
        <v>0</v>
      </c>
      <c r="G101" s="61" t="s">
        <v>551</v>
      </c>
      <c r="H101" s="62">
        <v>45000</v>
      </c>
      <c r="I101" s="62"/>
      <c r="J101" s="62"/>
      <c r="K101" s="16"/>
      <c r="L101" s="16"/>
      <c r="M101" s="16"/>
      <c r="N101" s="16"/>
      <c r="O101" s="16"/>
      <c r="P101" s="16"/>
    </row>
    <row r="102" spans="1:16" ht="24">
      <c r="A102" s="29">
        <v>95</v>
      </c>
      <c r="B102" s="1" t="s">
        <v>176</v>
      </c>
      <c r="C102" s="26" t="s">
        <v>177</v>
      </c>
      <c r="D102" s="26" t="s">
        <v>16</v>
      </c>
      <c r="E102" s="26" t="s">
        <v>520</v>
      </c>
      <c r="F102" s="62">
        <v>355586</v>
      </c>
      <c r="G102" s="74" t="s">
        <v>634</v>
      </c>
      <c r="H102" s="62">
        <f>F102+16801+201853+94169</f>
        <v>668409</v>
      </c>
      <c r="I102" s="62"/>
      <c r="J102" s="62"/>
      <c r="K102" s="16"/>
      <c r="L102" s="16"/>
      <c r="M102" s="16"/>
      <c r="N102" s="16"/>
      <c r="O102" s="16"/>
      <c r="P102" s="16"/>
    </row>
    <row r="103" spans="1:16" ht="24">
      <c r="A103" s="29">
        <v>96</v>
      </c>
      <c r="B103" s="1" t="s">
        <v>178</v>
      </c>
      <c r="C103" s="26" t="s">
        <v>179</v>
      </c>
      <c r="D103" s="26" t="s">
        <v>16</v>
      </c>
      <c r="E103" s="26" t="s">
        <v>519</v>
      </c>
      <c r="F103" s="62">
        <v>1870919</v>
      </c>
      <c r="G103" s="74" t="s">
        <v>635</v>
      </c>
      <c r="H103" s="62">
        <f>F103+28227+218868+156948</f>
        <v>2274962</v>
      </c>
      <c r="I103" s="62"/>
      <c r="J103" s="62"/>
      <c r="K103" s="16"/>
      <c r="L103" s="16"/>
      <c r="M103" s="16"/>
      <c r="N103" s="16"/>
      <c r="O103" s="16"/>
      <c r="P103" s="16"/>
    </row>
    <row r="104" spans="1:16" ht="12">
      <c r="A104" s="29">
        <v>97</v>
      </c>
      <c r="B104" s="1" t="s">
        <v>180</v>
      </c>
      <c r="C104" s="8" t="s">
        <v>181</v>
      </c>
      <c r="D104" s="8" t="s">
        <v>16</v>
      </c>
      <c r="E104" s="8" t="s">
        <v>8</v>
      </c>
      <c r="F104" s="62">
        <v>496044</v>
      </c>
      <c r="G104" s="77"/>
      <c r="H104" s="62">
        <f>F104</f>
        <v>496044</v>
      </c>
      <c r="I104" s="62"/>
      <c r="J104" s="62"/>
      <c r="K104" s="16"/>
      <c r="L104" s="16"/>
      <c r="M104" s="16"/>
      <c r="N104" s="16"/>
      <c r="O104" s="16"/>
      <c r="P104" s="16"/>
    </row>
    <row r="105" spans="1:16" ht="24">
      <c r="A105" s="29">
        <v>98</v>
      </c>
      <c r="B105" s="32" t="s">
        <v>597</v>
      </c>
      <c r="C105" s="33" t="s">
        <v>599</v>
      </c>
      <c r="D105" s="31" t="s">
        <v>598</v>
      </c>
      <c r="E105" s="33" t="s">
        <v>8</v>
      </c>
      <c r="F105" s="82">
        <v>276701</v>
      </c>
      <c r="G105" s="79"/>
      <c r="H105" s="78">
        <f>F105</f>
        <v>276701</v>
      </c>
      <c r="I105" s="78"/>
      <c r="J105" s="78"/>
      <c r="K105" s="16"/>
      <c r="L105" s="16"/>
      <c r="M105" s="16"/>
      <c r="N105" s="16"/>
      <c r="O105" s="16"/>
      <c r="P105" s="16"/>
    </row>
    <row r="106" spans="1:16" ht="12">
      <c r="A106" s="29">
        <v>99</v>
      </c>
      <c r="B106" s="1" t="s">
        <v>182</v>
      </c>
      <c r="C106" s="26" t="s">
        <v>183</v>
      </c>
      <c r="D106" s="26" t="s">
        <v>16</v>
      </c>
      <c r="E106" s="26" t="s">
        <v>171</v>
      </c>
      <c r="F106" s="62">
        <v>0</v>
      </c>
      <c r="G106" s="74" t="s">
        <v>563</v>
      </c>
      <c r="H106" s="62">
        <f>F106+58321+219728</f>
        <v>278049</v>
      </c>
      <c r="I106" s="62"/>
      <c r="J106" s="62"/>
      <c r="K106" s="16"/>
      <c r="L106" s="16"/>
      <c r="M106" s="16"/>
      <c r="N106" s="16"/>
      <c r="O106" s="16"/>
      <c r="P106" s="16"/>
    </row>
    <row r="107" spans="1:16" ht="24">
      <c r="A107" s="29">
        <v>100</v>
      </c>
      <c r="B107" s="1" t="s">
        <v>184</v>
      </c>
      <c r="C107" s="26" t="s">
        <v>185</v>
      </c>
      <c r="D107" s="26" t="s">
        <v>16</v>
      </c>
      <c r="E107" s="26" t="s">
        <v>171</v>
      </c>
      <c r="F107" s="62">
        <v>0</v>
      </c>
      <c r="G107" s="61" t="s">
        <v>550</v>
      </c>
      <c r="H107" s="62">
        <f>57396+31390</f>
        <v>88786</v>
      </c>
      <c r="I107" s="62"/>
      <c r="J107" s="62"/>
      <c r="K107" s="16"/>
      <c r="L107" s="16"/>
      <c r="M107" s="16"/>
      <c r="N107" s="16"/>
      <c r="O107" s="16"/>
      <c r="P107" s="16"/>
    </row>
    <row r="108" spans="1:16" ht="24">
      <c r="A108" s="29">
        <v>101</v>
      </c>
      <c r="B108" s="1" t="s">
        <v>186</v>
      </c>
      <c r="C108" s="8" t="s">
        <v>562</v>
      </c>
      <c r="D108" s="8" t="s">
        <v>16</v>
      </c>
      <c r="E108" s="8" t="s">
        <v>8</v>
      </c>
      <c r="F108" s="62">
        <v>291842</v>
      </c>
      <c r="G108" s="61"/>
      <c r="H108" s="62">
        <f>F108</f>
        <v>291842</v>
      </c>
      <c r="I108" s="62"/>
      <c r="J108" s="62"/>
      <c r="K108" s="16"/>
      <c r="L108" s="16"/>
      <c r="M108" s="16"/>
      <c r="N108" s="16"/>
      <c r="O108" s="16"/>
      <c r="P108" s="16"/>
    </row>
    <row r="109" spans="1:16" ht="36">
      <c r="A109" s="29">
        <v>102</v>
      </c>
      <c r="B109" s="1" t="s">
        <v>187</v>
      </c>
      <c r="C109" s="26" t="s">
        <v>188</v>
      </c>
      <c r="D109" s="26" t="s">
        <v>16</v>
      </c>
      <c r="E109" s="26" t="s">
        <v>171</v>
      </c>
      <c r="F109" s="62">
        <v>0</v>
      </c>
      <c r="G109" s="61" t="s">
        <v>557</v>
      </c>
      <c r="H109" s="62">
        <f>31000+68790</f>
        <v>99790</v>
      </c>
      <c r="I109" s="62"/>
      <c r="J109" s="62"/>
      <c r="K109" s="16"/>
      <c r="L109" s="16"/>
      <c r="M109" s="16"/>
      <c r="N109" s="16"/>
      <c r="O109" s="16"/>
      <c r="P109" s="16"/>
    </row>
    <row r="110" spans="1:16" ht="24">
      <c r="A110" s="29">
        <v>103</v>
      </c>
      <c r="B110" s="45" t="s">
        <v>600</v>
      </c>
      <c r="C110" s="46" t="s">
        <v>601</v>
      </c>
      <c r="D110" s="12" t="s">
        <v>497</v>
      </c>
      <c r="E110" s="12" t="s">
        <v>8</v>
      </c>
      <c r="F110" s="68">
        <v>19711</v>
      </c>
      <c r="G110" s="46"/>
      <c r="H110" s="70">
        <f>F110</f>
        <v>19711</v>
      </c>
      <c r="I110" s="46"/>
      <c r="J110" s="46"/>
      <c r="K110" s="16"/>
      <c r="L110" s="16"/>
      <c r="M110" s="16"/>
      <c r="N110" s="16"/>
      <c r="O110" s="16"/>
      <c r="P110" s="16"/>
    </row>
    <row r="111" spans="1:16" ht="12">
      <c r="A111" s="29">
        <v>104</v>
      </c>
      <c r="B111" s="1" t="s">
        <v>189</v>
      </c>
      <c r="C111" s="8" t="s">
        <v>190</v>
      </c>
      <c r="D111" s="8" t="s">
        <v>16</v>
      </c>
      <c r="E111" s="8" t="s">
        <v>8</v>
      </c>
      <c r="F111" s="62">
        <v>653915</v>
      </c>
      <c r="G111" s="81"/>
      <c r="H111" s="62">
        <f>F111</f>
        <v>653915</v>
      </c>
      <c r="I111" s="62"/>
      <c r="J111" s="62"/>
      <c r="K111" s="16"/>
      <c r="L111" s="16"/>
      <c r="M111" s="16"/>
      <c r="N111" s="16"/>
      <c r="O111" s="16"/>
      <c r="P111" s="16"/>
    </row>
    <row r="112" spans="1:16" ht="12">
      <c r="A112" s="29">
        <v>105</v>
      </c>
      <c r="B112" s="1" t="s">
        <v>191</v>
      </c>
      <c r="C112" s="8" t="s">
        <v>192</v>
      </c>
      <c r="D112" s="8" t="s">
        <v>16</v>
      </c>
      <c r="E112" s="8" t="s">
        <v>8</v>
      </c>
      <c r="F112" s="62">
        <v>2080188</v>
      </c>
      <c r="G112" s="77"/>
      <c r="H112" s="62">
        <f>F112</f>
        <v>2080188</v>
      </c>
      <c r="I112" s="62"/>
      <c r="J112" s="62"/>
      <c r="K112" s="16"/>
      <c r="L112" s="16"/>
      <c r="M112" s="16"/>
      <c r="N112" s="16"/>
      <c r="O112" s="16"/>
      <c r="P112" s="16"/>
    </row>
    <row r="113" spans="1:16" ht="12">
      <c r="A113" s="29">
        <v>106</v>
      </c>
      <c r="B113" s="1" t="s">
        <v>193</v>
      </c>
      <c r="C113" s="8" t="s">
        <v>194</v>
      </c>
      <c r="D113" s="8" t="s">
        <v>16</v>
      </c>
      <c r="E113" s="8" t="s">
        <v>8</v>
      </c>
      <c r="F113" s="62">
        <v>51042</v>
      </c>
      <c r="G113" s="81"/>
      <c r="H113" s="62">
        <f>F113</f>
        <v>51042</v>
      </c>
      <c r="I113" s="62"/>
      <c r="J113" s="62"/>
      <c r="K113" s="16"/>
      <c r="L113" s="16"/>
      <c r="M113" s="16"/>
      <c r="N113" s="16"/>
      <c r="O113" s="16"/>
      <c r="P113" s="16"/>
    </row>
    <row r="114" spans="1:16" ht="24">
      <c r="A114" s="29">
        <v>107</v>
      </c>
      <c r="B114" s="1" t="s">
        <v>195</v>
      </c>
      <c r="C114" s="8" t="s">
        <v>196</v>
      </c>
      <c r="D114" s="8" t="s">
        <v>16</v>
      </c>
      <c r="E114" s="8" t="s">
        <v>8</v>
      </c>
      <c r="F114" s="62">
        <v>1119</v>
      </c>
      <c r="G114" s="77"/>
      <c r="H114" s="62">
        <f>F114</f>
        <v>1119</v>
      </c>
      <c r="I114" s="62"/>
      <c r="J114" s="62"/>
      <c r="K114" s="16"/>
      <c r="L114" s="16"/>
      <c r="M114" s="16"/>
      <c r="N114" s="16"/>
      <c r="O114" s="16"/>
      <c r="P114" s="16"/>
    </row>
    <row r="115" spans="1:16" ht="33" customHeight="1">
      <c r="A115" s="29">
        <v>108</v>
      </c>
      <c r="B115" s="1" t="s">
        <v>197</v>
      </c>
      <c r="C115" s="26" t="s">
        <v>198</v>
      </c>
      <c r="D115" s="26" t="s">
        <v>16</v>
      </c>
      <c r="E115" s="26" t="s">
        <v>565</v>
      </c>
      <c r="F115" s="62">
        <v>1425000</v>
      </c>
      <c r="G115" s="74" t="s">
        <v>638</v>
      </c>
      <c r="H115" s="62">
        <f>F115+364500</f>
        <v>1789500</v>
      </c>
      <c r="I115" s="62"/>
      <c r="J115" s="62">
        <v>149500</v>
      </c>
      <c r="K115" s="16"/>
      <c r="L115" s="16"/>
      <c r="M115" s="16"/>
      <c r="N115" s="16"/>
      <c r="O115" s="16"/>
      <c r="P115" s="16"/>
    </row>
    <row r="116" spans="1:16" ht="24">
      <c r="A116" s="29">
        <v>109</v>
      </c>
      <c r="B116" s="1" t="s">
        <v>199</v>
      </c>
      <c r="C116" s="26" t="s">
        <v>200</v>
      </c>
      <c r="D116" s="26" t="s">
        <v>16</v>
      </c>
      <c r="E116" s="26" t="s">
        <v>565</v>
      </c>
      <c r="F116" s="62">
        <v>2250000</v>
      </c>
      <c r="G116" s="74" t="s">
        <v>639</v>
      </c>
      <c r="H116" s="62">
        <f>F116+1040000</f>
        <v>3290000</v>
      </c>
      <c r="I116" s="62"/>
      <c r="J116" s="62">
        <v>923000</v>
      </c>
      <c r="K116" s="16"/>
      <c r="L116" s="16"/>
      <c r="M116" s="16"/>
      <c r="N116" s="16"/>
      <c r="O116" s="16"/>
      <c r="P116" s="16"/>
    </row>
    <row r="117" spans="1:16" ht="12">
      <c r="A117" s="29">
        <v>110</v>
      </c>
      <c r="B117" s="1" t="s">
        <v>201</v>
      </c>
      <c r="C117" s="8" t="s">
        <v>202</v>
      </c>
      <c r="D117" s="8" t="s">
        <v>16</v>
      </c>
      <c r="E117" s="8" t="s">
        <v>8</v>
      </c>
      <c r="F117" s="62">
        <v>1316495</v>
      </c>
      <c r="G117" s="77"/>
      <c r="H117" s="62">
        <f>F117</f>
        <v>1316495</v>
      </c>
      <c r="I117" s="62"/>
      <c r="J117" s="62"/>
      <c r="K117" s="16"/>
      <c r="L117" s="16"/>
      <c r="M117" s="16"/>
      <c r="N117" s="16"/>
      <c r="O117" s="16"/>
      <c r="P117" s="16"/>
    </row>
    <row r="118" spans="1:16" ht="12">
      <c r="A118" s="29">
        <v>111</v>
      </c>
      <c r="B118" s="1" t="s">
        <v>203</v>
      </c>
      <c r="C118" s="26" t="s">
        <v>204</v>
      </c>
      <c r="D118" s="26" t="s">
        <v>16</v>
      </c>
      <c r="E118" s="26" t="s">
        <v>518</v>
      </c>
      <c r="F118" s="62">
        <v>14969</v>
      </c>
      <c r="G118" s="61" t="s">
        <v>205</v>
      </c>
      <c r="H118" s="62">
        <f>F118+5000</f>
        <v>19969</v>
      </c>
      <c r="I118" s="62"/>
      <c r="J118" s="62"/>
      <c r="K118" s="16"/>
      <c r="L118" s="16"/>
      <c r="M118" s="16"/>
      <c r="N118" s="16"/>
      <c r="O118" s="16"/>
      <c r="P118" s="16"/>
    </row>
    <row r="119" spans="1:16" ht="24">
      <c r="A119" s="29">
        <v>112</v>
      </c>
      <c r="B119" s="1" t="s">
        <v>206</v>
      </c>
      <c r="C119" s="8" t="s">
        <v>207</v>
      </c>
      <c r="D119" s="8" t="s">
        <v>16</v>
      </c>
      <c r="E119" s="8" t="s">
        <v>8</v>
      </c>
      <c r="F119" s="62">
        <v>9857</v>
      </c>
      <c r="G119" s="77"/>
      <c r="H119" s="62">
        <f aca="true" t="shared" si="6" ref="H119:H124">F119</f>
        <v>9857</v>
      </c>
      <c r="I119" s="62"/>
      <c r="J119" s="62"/>
      <c r="K119" s="16"/>
      <c r="L119" s="16"/>
      <c r="M119" s="16"/>
      <c r="N119" s="16"/>
      <c r="O119" s="16"/>
      <c r="P119" s="16"/>
    </row>
    <row r="120" spans="1:16" ht="12">
      <c r="A120" s="29">
        <v>113</v>
      </c>
      <c r="B120" s="1" t="s">
        <v>208</v>
      </c>
      <c r="C120" s="8" t="s">
        <v>209</v>
      </c>
      <c r="D120" s="8" t="s">
        <v>16</v>
      </c>
      <c r="E120" s="8" t="s">
        <v>8</v>
      </c>
      <c r="F120" s="62">
        <v>5715</v>
      </c>
      <c r="G120" s="81"/>
      <c r="H120" s="62">
        <f t="shared" si="6"/>
        <v>5715</v>
      </c>
      <c r="I120" s="62"/>
      <c r="J120" s="62"/>
      <c r="K120" s="16"/>
      <c r="L120" s="16"/>
      <c r="M120" s="16"/>
      <c r="N120" s="16"/>
      <c r="O120" s="16"/>
      <c r="P120" s="16"/>
    </row>
    <row r="121" spans="1:16" ht="12">
      <c r="A121" s="29">
        <v>114</v>
      </c>
      <c r="B121" s="1" t="s">
        <v>210</v>
      </c>
      <c r="C121" s="26" t="s">
        <v>211</v>
      </c>
      <c r="D121" s="26" t="s">
        <v>16</v>
      </c>
      <c r="E121" s="26" t="s">
        <v>559</v>
      </c>
      <c r="F121" s="62">
        <v>208839</v>
      </c>
      <c r="G121" s="61" t="s">
        <v>574</v>
      </c>
      <c r="H121" s="62">
        <f>F121+93500</f>
        <v>302339</v>
      </c>
      <c r="I121" s="62"/>
      <c r="J121" s="62"/>
      <c r="K121" s="16"/>
      <c r="L121" s="16"/>
      <c r="M121" s="16"/>
      <c r="N121" s="16"/>
      <c r="O121" s="16"/>
      <c r="P121" s="16"/>
    </row>
    <row r="122" spans="1:16" ht="12">
      <c r="A122" s="29">
        <v>115</v>
      </c>
      <c r="B122" s="1" t="s">
        <v>212</v>
      </c>
      <c r="C122" s="8" t="s">
        <v>213</v>
      </c>
      <c r="D122" s="8" t="s">
        <v>16</v>
      </c>
      <c r="E122" s="8" t="s">
        <v>8</v>
      </c>
      <c r="F122" s="62">
        <v>2273736</v>
      </c>
      <c r="G122" s="77"/>
      <c r="H122" s="62">
        <f t="shared" si="6"/>
        <v>2273736</v>
      </c>
      <c r="I122" s="62"/>
      <c r="J122" s="62"/>
      <c r="K122" s="16"/>
      <c r="L122" s="16"/>
      <c r="M122" s="16"/>
      <c r="N122" s="16"/>
      <c r="O122" s="16"/>
      <c r="P122" s="16"/>
    </row>
    <row r="123" spans="1:16" ht="12">
      <c r="A123" s="29">
        <v>116</v>
      </c>
      <c r="B123" s="1" t="s">
        <v>214</v>
      </c>
      <c r="C123" s="8" t="s">
        <v>215</v>
      </c>
      <c r="D123" s="8" t="s">
        <v>16</v>
      </c>
      <c r="E123" s="8" t="s">
        <v>8</v>
      </c>
      <c r="F123" s="62">
        <v>205495</v>
      </c>
      <c r="G123" s="77"/>
      <c r="H123" s="62">
        <f t="shared" si="6"/>
        <v>205495</v>
      </c>
      <c r="I123" s="62"/>
      <c r="J123" s="62"/>
      <c r="K123" s="16"/>
      <c r="L123" s="16"/>
      <c r="M123" s="16"/>
      <c r="N123" s="16"/>
      <c r="O123" s="16"/>
      <c r="P123" s="16"/>
    </row>
    <row r="124" spans="1:16" ht="12">
      <c r="A124" s="29">
        <v>117</v>
      </c>
      <c r="B124" s="25" t="s">
        <v>508</v>
      </c>
      <c r="C124" s="26" t="s">
        <v>315</v>
      </c>
      <c r="D124" s="8" t="s">
        <v>16</v>
      </c>
      <c r="E124" s="26" t="s">
        <v>8</v>
      </c>
      <c r="F124" s="67">
        <v>14969</v>
      </c>
      <c r="G124" s="90"/>
      <c r="H124" s="67">
        <f t="shared" si="6"/>
        <v>14969</v>
      </c>
      <c r="I124" s="67"/>
      <c r="J124" s="67"/>
      <c r="K124" s="16"/>
      <c r="L124" s="16"/>
      <c r="M124" s="16"/>
      <c r="N124" s="16"/>
      <c r="O124" s="16"/>
      <c r="P124" s="16"/>
    </row>
    <row r="125" spans="1:16" ht="36">
      <c r="A125" s="29">
        <v>118</v>
      </c>
      <c r="B125" s="45" t="s">
        <v>602</v>
      </c>
      <c r="C125" s="46" t="s">
        <v>643</v>
      </c>
      <c r="D125" s="12" t="s">
        <v>497</v>
      </c>
      <c r="E125" s="12" t="s">
        <v>603</v>
      </c>
      <c r="F125" s="68">
        <v>0</v>
      </c>
      <c r="G125" s="69" t="s">
        <v>622</v>
      </c>
      <c r="H125" s="70">
        <f>F125+4951586</f>
        <v>4951586</v>
      </c>
      <c r="I125" s="46"/>
      <c r="J125" s="46"/>
      <c r="K125" s="16"/>
      <c r="L125" s="16"/>
      <c r="M125" s="16"/>
      <c r="N125" s="16"/>
      <c r="O125" s="16"/>
      <c r="P125" s="16"/>
    </row>
    <row r="126" spans="1:16" ht="12">
      <c r="A126" s="29">
        <v>119</v>
      </c>
      <c r="B126" s="1" t="s">
        <v>216</v>
      </c>
      <c r="C126" s="26" t="s">
        <v>217</v>
      </c>
      <c r="D126" s="26" t="s">
        <v>16</v>
      </c>
      <c r="E126" s="26" t="s">
        <v>547</v>
      </c>
      <c r="F126" s="62">
        <v>1395017</v>
      </c>
      <c r="G126" s="61" t="s">
        <v>649</v>
      </c>
      <c r="H126" s="62">
        <f>F126+2060000</f>
        <v>3455017</v>
      </c>
      <c r="I126" s="62"/>
      <c r="J126" s="62"/>
      <c r="K126" s="16"/>
      <c r="L126" s="16"/>
      <c r="M126" s="16"/>
      <c r="N126" s="16"/>
      <c r="O126" s="16"/>
      <c r="P126" s="16"/>
    </row>
    <row r="127" spans="1:16" ht="24">
      <c r="A127" s="29">
        <v>120</v>
      </c>
      <c r="B127" s="1" t="s">
        <v>218</v>
      </c>
      <c r="C127" s="26" t="s">
        <v>219</v>
      </c>
      <c r="D127" s="26" t="s">
        <v>16</v>
      </c>
      <c r="E127" s="26" t="s">
        <v>548</v>
      </c>
      <c r="F127" s="62">
        <v>0</v>
      </c>
      <c r="G127" s="74" t="s">
        <v>648</v>
      </c>
      <c r="H127" s="62">
        <f>F127+2060000+130000</f>
        <v>2190000</v>
      </c>
      <c r="I127" s="62"/>
      <c r="J127" s="62"/>
      <c r="K127" s="16"/>
      <c r="L127" s="16"/>
      <c r="M127" s="16"/>
      <c r="N127" s="16"/>
      <c r="O127" s="16"/>
      <c r="P127" s="16"/>
    </row>
    <row r="128" spans="1:16" ht="24">
      <c r="A128" s="29">
        <v>121</v>
      </c>
      <c r="B128" s="1" t="s">
        <v>220</v>
      </c>
      <c r="C128" s="26" t="s">
        <v>221</v>
      </c>
      <c r="D128" s="26" t="s">
        <v>16</v>
      </c>
      <c r="E128" s="26" t="s">
        <v>547</v>
      </c>
      <c r="F128" s="62">
        <v>67843</v>
      </c>
      <c r="G128" s="61" t="s">
        <v>646</v>
      </c>
      <c r="H128" s="62">
        <f>F128+1104562</f>
        <v>1172405</v>
      </c>
      <c r="I128" s="62"/>
      <c r="J128" s="62"/>
      <c r="K128" s="16"/>
      <c r="L128" s="16"/>
      <c r="M128" s="16"/>
      <c r="N128" s="16"/>
      <c r="O128" s="16"/>
      <c r="P128" s="16"/>
    </row>
    <row r="129" spans="1:16" ht="24">
      <c r="A129" s="29">
        <v>122</v>
      </c>
      <c r="B129" s="1" t="s">
        <v>222</v>
      </c>
      <c r="C129" s="26" t="s">
        <v>223</v>
      </c>
      <c r="D129" s="26" t="s">
        <v>16</v>
      </c>
      <c r="E129" s="26" t="s">
        <v>547</v>
      </c>
      <c r="F129" s="62">
        <v>56110</v>
      </c>
      <c r="G129" s="61" t="s">
        <v>647</v>
      </c>
      <c r="H129" s="62">
        <f>F129+214000</f>
        <v>270110</v>
      </c>
      <c r="I129" s="62"/>
      <c r="J129" s="62"/>
      <c r="K129" s="16"/>
      <c r="L129" s="16"/>
      <c r="M129" s="16"/>
      <c r="N129" s="16"/>
      <c r="O129" s="16"/>
      <c r="P129" s="16"/>
    </row>
    <row r="130" spans="1:16" ht="12">
      <c r="A130" s="29">
        <v>123</v>
      </c>
      <c r="B130" s="1" t="s">
        <v>224</v>
      </c>
      <c r="C130" s="8" t="s">
        <v>225</v>
      </c>
      <c r="D130" s="8" t="s">
        <v>16</v>
      </c>
      <c r="E130" s="8" t="s">
        <v>8</v>
      </c>
      <c r="F130" s="62">
        <v>904411</v>
      </c>
      <c r="G130" s="77"/>
      <c r="H130" s="62">
        <f>F130</f>
        <v>904411</v>
      </c>
      <c r="I130" s="62"/>
      <c r="J130" s="62"/>
      <c r="K130" s="16"/>
      <c r="L130" s="16"/>
      <c r="M130" s="16"/>
      <c r="N130" s="16"/>
      <c r="O130" s="16"/>
      <c r="P130" s="16"/>
    </row>
    <row r="131" spans="1:16" ht="24">
      <c r="A131" s="29">
        <v>124</v>
      </c>
      <c r="B131" s="1" t="s">
        <v>226</v>
      </c>
      <c r="C131" s="26" t="s">
        <v>227</v>
      </c>
      <c r="D131" s="26" t="s">
        <v>16</v>
      </c>
      <c r="E131" s="26" t="s">
        <v>548</v>
      </c>
      <c r="F131" s="62">
        <v>0</v>
      </c>
      <c r="G131" s="74" t="s">
        <v>652</v>
      </c>
      <c r="H131" s="62">
        <f>F131+1903364+20000</f>
        <v>1923364</v>
      </c>
      <c r="I131" s="62"/>
      <c r="J131" s="62"/>
      <c r="K131" s="16"/>
      <c r="L131" s="16"/>
      <c r="M131" s="16"/>
      <c r="N131" s="16"/>
      <c r="O131" s="16"/>
      <c r="P131" s="16"/>
    </row>
    <row r="132" spans="1:16" ht="12">
      <c r="A132" s="29">
        <v>125</v>
      </c>
      <c r="B132" s="25" t="s">
        <v>228</v>
      </c>
      <c r="C132" s="26" t="s">
        <v>229</v>
      </c>
      <c r="D132" s="26" t="s">
        <v>16</v>
      </c>
      <c r="E132" s="26" t="s">
        <v>517</v>
      </c>
      <c r="F132" s="62">
        <v>0</v>
      </c>
      <c r="G132" s="63" t="s">
        <v>650</v>
      </c>
      <c r="H132" s="62">
        <f>275000</f>
        <v>275000</v>
      </c>
      <c r="I132" s="62"/>
      <c r="J132" s="62"/>
      <c r="K132" s="16"/>
      <c r="L132" s="16"/>
      <c r="M132" s="16"/>
      <c r="N132" s="16"/>
      <c r="O132" s="16"/>
      <c r="P132" s="16"/>
    </row>
    <row r="133" spans="1:16" ht="24">
      <c r="A133" s="29">
        <v>126</v>
      </c>
      <c r="B133" s="32" t="s">
        <v>555</v>
      </c>
      <c r="C133" s="33" t="s">
        <v>644</v>
      </c>
      <c r="D133" s="31" t="s">
        <v>539</v>
      </c>
      <c r="E133" s="33" t="s">
        <v>8</v>
      </c>
      <c r="F133" s="91">
        <v>3509881</v>
      </c>
      <c r="G133" s="31"/>
      <c r="H133" s="78">
        <f>F133</f>
        <v>3509881</v>
      </c>
      <c r="I133" s="78"/>
      <c r="J133" s="78"/>
      <c r="K133" s="16"/>
      <c r="L133" s="16"/>
      <c r="M133" s="16"/>
      <c r="N133" s="16"/>
      <c r="O133" s="16"/>
      <c r="P133" s="16"/>
    </row>
    <row r="134" spans="1:16" ht="12">
      <c r="A134" s="29">
        <v>127</v>
      </c>
      <c r="B134" s="25" t="s">
        <v>230</v>
      </c>
      <c r="C134" s="26" t="s">
        <v>231</v>
      </c>
      <c r="D134" s="26" t="s">
        <v>16</v>
      </c>
      <c r="E134" s="26" t="s">
        <v>232</v>
      </c>
      <c r="F134" s="62">
        <v>0</v>
      </c>
      <c r="G134" s="61" t="s">
        <v>612</v>
      </c>
      <c r="H134" s="62">
        <f>F134+4332</f>
        <v>4332</v>
      </c>
      <c r="I134" s="62"/>
      <c r="J134" s="62"/>
      <c r="K134" s="16"/>
      <c r="L134" s="16"/>
      <c r="M134" s="16"/>
      <c r="N134" s="16"/>
      <c r="O134" s="16"/>
      <c r="P134" s="16"/>
    </row>
    <row r="135" spans="1:16" ht="12">
      <c r="A135" s="29">
        <v>128</v>
      </c>
      <c r="B135" s="1" t="s">
        <v>233</v>
      </c>
      <c r="C135" s="8" t="s">
        <v>234</v>
      </c>
      <c r="D135" s="8" t="s">
        <v>16</v>
      </c>
      <c r="E135" s="8" t="s">
        <v>8</v>
      </c>
      <c r="F135" s="62">
        <v>424988</v>
      </c>
      <c r="G135" s="77"/>
      <c r="H135" s="62">
        <f>F135</f>
        <v>424988</v>
      </c>
      <c r="I135" s="62"/>
      <c r="J135" s="62"/>
      <c r="K135" s="16"/>
      <c r="L135" s="16"/>
      <c r="M135" s="16"/>
      <c r="N135" s="16"/>
      <c r="O135" s="16"/>
      <c r="P135" s="16"/>
    </row>
    <row r="136" spans="1:16" ht="12">
      <c r="A136" s="29">
        <v>129</v>
      </c>
      <c r="B136" s="1" t="s">
        <v>235</v>
      </c>
      <c r="C136" s="8" t="s">
        <v>236</v>
      </c>
      <c r="D136" s="8" t="s">
        <v>16</v>
      </c>
      <c r="E136" s="8" t="s">
        <v>8</v>
      </c>
      <c r="F136" s="62">
        <v>217991</v>
      </c>
      <c r="G136" s="77"/>
      <c r="H136" s="62">
        <f>F136</f>
        <v>217991</v>
      </c>
      <c r="I136" s="62"/>
      <c r="J136" s="62"/>
      <c r="K136" s="16"/>
      <c r="L136" s="16"/>
      <c r="M136" s="16"/>
      <c r="N136" s="16"/>
      <c r="O136" s="16"/>
      <c r="P136" s="16"/>
    </row>
    <row r="137" spans="1:16" ht="12">
      <c r="A137" s="29">
        <v>130</v>
      </c>
      <c r="B137" s="1" t="s">
        <v>237</v>
      </c>
      <c r="C137" s="8" t="s">
        <v>238</v>
      </c>
      <c r="D137" s="8" t="s">
        <v>16</v>
      </c>
      <c r="E137" s="8" t="s">
        <v>8</v>
      </c>
      <c r="F137" s="62">
        <v>615288</v>
      </c>
      <c r="G137" s="77"/>
      <c r="H137" s="62">
        <f>F137</f>
        <v>615288</v>
      </c>
      <c r="I137" s="62"/>
      <c r="J137" s="62"/>
      <c r="K137" s="16"/>
      <c r="L137" s="16"/>
      <c r="M137" s="16"/>
      <c r="N137" s="16"/>
      <c r="O137" s="16"/>
      <c r="P137" s="16"/>
    </row>
    <row r="138" spans="1:16" ht="12">
      <c r="A138" s="29">
        <v>131</v>
      </c>
      <c r="B138" s="1" t="s">
        <v>239</v>
      </c>
      <c r="C138" s="8" t="s">
        <v>240</v>
      </c>
      <c r="D138" s="8" t="s">
        <v>16</v>
      </c>
      <c r="E138" s="8" t="s">
        <v>8</v>
      </c>
      <c r="F138" s="62">
        <v>1880416</v>
      </c>
      <c r="G138" s="81"/>
      <c r="H138" s="62">
        <f>F138</f>
        <v>1880416</v>
      </c>
      <c r="I138" s="62"/>
      <c r="J138" s="62"/>
      <c r="K138" s="16"/>
      <c r="L138" s="16"/>
      <c r="M138" s="16"/>
      <c r="N138" s="16"/>
      <c r="O138" s="16"/>
      <c r="P138" s="16"/>
    </row>
    <row r="139" spans="1:16" ht="12">
      <c r="A139" s="29">
        <v>132</v>
      </c>
      <c r="B139" s="1" t="s">
        <v>241</v>
      </c>
      <c r="C139" s="8" t="s">
        <v>242</v>
      </c>
      <c r="D139" s="8" t="s">
        <v>16</v>
      </c>
      <c r="E139" s="8" t="s">
        <v>8</v>
      </c>
      <c r="F139" s="62">
        <v>1132813</v>
      </c>
      <c r="G139" s="77"/>
      <c r="H139" s="62">
        <f>F139</f>
        <v>1132813</v>
      </c>
      <c r="I139" s="62"/>
      <c r="J139" s="62"/>
      <c r="K139" s="16"/>
      <c r="L139" s="16"/>
      <c r="M139" s="16"/>
      <c r="N139" s="16"/>
      <c r="O139" s="16"/>
      <c r="P139" s="16"/>
    </row>
    <row r="140" spans="1:16" ht="24">
      <c r="A140" s="29">
        <v>133</v>
      </c>
      <c r="B140" s="1" t="s">
        <v>243</v>
      </c>
      <c r="C140" s="8" t="s">
        <v>244</v>
      </c>
      <c r="D140" s="8" t="s">
        <v>16</v>
      </c>
      <c r="E140" s="8" t="s">
        <v>525</v>
      </c>
      <c r="F140" s="62">
        <v>2116376</v>
      </c>
      <c r="G140" s="63" t="s">
        <v>245</v>
      </c>
      <c r="H140" s="62">
        <f>F140+700</f>
        <v>2117076</v>
      </c>
      <c r="I140" s="62"/>
      <c r="J140" s="62"/>
      <c r="K140" s="16"/>
      <c r="L140" s="16"/>
      <c r="M140" s="16"/>
      <c r="N140" s="16"/>
      <c r="O140" s="16"/>
      <c r="P140" s="16"/>
    </row>
    <row r="141" spans="1:16" ht="12">
      <c r="A141" s="29">
        <v>134</v>
      </c>
      <c r="B141" s="1" t="s">
        <v>246</v>
      </c>
      <c r="C141" s="8" t="s">
        <v>247</v>
      </c>
      <c r="D141" s="8" t="s">
        <v>16</v>
      </c>
      <c r="E141" s="8" t="s">
        <v>525</v>
      </c>
      <c r="F141" s="62">
        <v>2209223</v>
      </c>
      <c r="G141" s="63" t="s">
        <v>245</v>
      </c>
      <c r="H141" s="62">
        <f>F141+700</f>
        <v>2209923</v>
      </c>
      <c r="I141" s="62"/>
      <c r="J141" s="62"/>
      <c r="K141" s="16"/>
      <c r="L141" s="16"/>
      <c r="M141" s="16"/>
      <c r="N141" s="16"/>
      <c r="O141" s="16"/>
      <c r="P141" s="16"/>
    </row>
    <row r="142" spans="1:16" ht="12">
      <c r="A142" s="29">
        <v>135</v>
      </c>
      <c r="B142" s="1" t="s">
        <v>248</v>
      </c>
      <c r="C142" s="8" t="s">
        <v>249</v>
      </c>
      <c r="D142" s="8" t="s">
        <v>16</v>
      </c>
      <c r="E142" s="8" t="s">
        <v>8</v>
      </c>
      <c r="F142" s="62">
        <v>684263</v>
      </c>
      <c r="G142" s="104"/>
      <c r="H142" s="62">
        <f aca="true" t="shared" si="7" ref="H142:H147">F142</f>
        <v>684263</v>
      </c>
      <c r="I142" s="62"/>
      <c r="J142" s="62"/>
      <c r="K142" s="16"/>
      <c r="L142" s="16"/>
      <c r="M142" s="16"/>
      <c r="N142" s="16"/>
      <c r="O142" s="16"/>
      <c r="P142" s="16"/>
    </row>
    <row r="143" spans="1:16" ht="12">
      <c r="A143" s="29">
        <v>136</v>
      </c>
      <c r="B143" s="1" t="s">
        <v>250</v>
      </c>
      <c r="C143" s="26" t="s">
        <v>251</v>
      </c>
      <c r="D143" s="26" t="s">
        <v>16</v>
      </c>
      <c r="E143" s="8" t="s">
        <v>525</v>
      </c>
      <c r="F143" s="62">
        <v>332307</v>
      </c>
      <c r="G143" s="63" t="s">
        <v>636</v>
      </c>
      <c r="H143" s="62">
        <f>F143+50000+60000</f>
        <v>442307</v>
      </c>
      <c r="I143" s="62"/>
      <c r="J143" s="62"/>
      <c r="K143" s="16"/>
      <c r="L143" s="16"/>
      <c r="M143" s="16"/>
      <c r="N143" s="16"/>
      <c r="O143" s="16"/>
      <c r="P143" s="16"/>
    </row>
    <row r="144" spans="1:16" ht="33.75" customHeight="1">
      <c r="A144" s="29">
        <v>137</v>
      </c>
      <c r="B144" s="1" t="s">
        <v>252</v>
      </c>
      <c r="C144" s="26" t="s">
        <v>253</v>
      </c>
      <c r="D144" s="26" t="s">
        <v>16</v>
      </c>
      <c r="E144" s="8" t="s">
        <v>525</v>
      </c>
      <c r="F144" s="62">
        <v>95726</v>
      </c>
      <c r="G144" s="73" t="s">
        <v>637</v>
      </c>
      <c r="H144" s="62">
        <f>F144+110000+5800+246717+71085</f>
        <v>529328</v>
      </c>
      <c r="I144" s="62"/>
      <c r="J144" s="62"/>
      <c r="K144" s="13"/>
      <c r="L144" s="13"/>
      <c r="M144" s="16"/>
      <c r="N144" s="16"/>
      <c r="O144" s="16"/>
      <c r="P144" s="16"/>
    </row>
    <row r="145" spans="1:16" ht="12">
      <c r="A145" s="29">
        <v>138</v>
      </c>
      <c r="B145" s="1" t="s">
        <v>254</v>
      </c>
      <c r="C145" s="8" t="s">
        <v>255</v>
      </c>
      <c r="D145" s="8" t="s">
        <v>16</v>
      </c>
      <c r="E145" s="8" t="s">
        <v>8</v>
      </c>
      <c r="F145" s="62">
        <v>274681</v>
      </c>
      <c r="G145" s="77"/>
      <c r="H145" s="62">
        <f t="shared" si="7"/>
        <v>274681</v>
      </c>
      <c r="I145" s="62"/>
      <c r="J145" s="62"/>
      <c r="K145" s="16"/>
      <c r="L145" s="16"/>
      <c r="M145" s="16"/>
      <c r="N145" s="16"/>
      <c r="O145" s="16"/>
      <c r="P145" s="16"/>
    </row>
    <row r="146" spans="1:16" ht="12">
      <c r="A146" s="29">
        <v>139</v>
      </c>
      <c r="B146" s="1" t="s">
        <v>256</v>
      </c>
      <c r="C146" s="8" t="s">
        <v>257</v>
      </c>
      <c r="D146" s="8" t="s">
        <v>16</v>
      </c>
      <c r="E146" s="8" t="s">
        <v>8</v>
      </c>
      <c r="F146" s="62">
        <v>158161</v>
      </c>
      <c r="G146" s="77"/>
      <c r="H146" s="62">
        <f t="shared" si="7"/>
        <v>158161</v>
      </c>
      <c r="I146" s="62"/>
      <c r="J146" s="62"/>
      <c r="K146" s="16"/>
      <c r="L146" s="16"/>
      <c r="M146" s="16"/>
      <c r="N146" s="16"/>
      <c r="O146" s="16"/>
      <c r="P146" s="16"/>
    </row>
    <row r="147" spans="1:16" ht="12">
      <c r="A147" s="29">
        <v>140</v>
      </c>
      <c r="B147" s="1" t="s">
        <v>258</v>
      </c>
      <c r="C147" s="8" t="s">
        <v>259</v>
      </c>
      <c r="D147" s="8" t="s">
        <v>16</v>
      </c>
      <c r="E147" s="8" t="s">
        <v>8</v>
      </c>
      <c r="F147" s="62">
        <v>40798</v>
      </c>
      <c r="G147" s="77"/>
      <c r="H147" s="62">
        <f t="shared" si="7"/>
        <v>40798</v>
      </c>
      <c r="I147" s="62"/>
      <c r="J147" s="62"/>
      <c r="K147" s="16"/>
      <c r="L147" s="16"/>
      <c r="M147" s="16"/>
      <c r="N147" s="16"/>
      <c r="O147" s="16"/>
      <c r="P147" s="16"/>
    </row>
    <row r="148" spans="1:16" ht="12">
      <c r="A148" s="29">
        <v>141</v>
      </c>
      <c r="B148" s="1" t="s">
        <v>265</v>
      </c>
      <c r="C148" s="26" t="s">
        <v>266</v>
      </c>
      <c r="D148" s="26" t="s">
        <v>16</v>
      </c>
      <c r="E148" s="26" t="s">
        <v>267</v>
      </c>
      <c r="F148" s="14">
        <v>0</v>
      </c>
      <c r="G148" s="61" t="s">
        <v>558</v>
      </c>
      <c r="H148" s="62">
        <f>2106970</f>
        <v>2106970</v>
      </c>
      <c r="I148" s="62"/>
      <c r="J148" s="62"/>
      <c r="K148" s="16"/>
      <c r="L148" s="16"/>
      <c r="M148" s="16"/>
      <c r="N148" s="16"/>
      <c r="O148" s="16"/>
      <c r="P148" s="16"/>
    </row>
    <row r="149" spans="1:16" ht="12">
      <c r="A149" s="29">
        <v>142</v>
      </c>
      <c r="B149" s="1" t="s">
        <v>268</v>
      </c>
      <c r="C149" s="26" t="s">
        <v>269</v>
      </c>
      <c r="D149" s="26" t="s">
        <v>16</v>
      </c>
      <c r="E149" s="26" t="s">
        <v>526</v>
      </c>
      <c r="F149" s="62">
        <v>224065</v>
      </c>
      <c r="G149" s="61" t="s">
        <v>514</v>
      </c>
      <c r="H149" s="62">
        <f>F149</f>
        <v>224065</v>
      </c>
      <c r="I149" s="62"/>
      <c r="J149" s="62">
        <v>48000</v>
      </c>
      <c r="K149" s="16"/>
      <c r="L149" s="16"/>
      <c r="M149" s="16"/>
      <c r="N149" s="16"/>
      <c r="O149" s="16"/>
      <c r="P149" s="16"/>
    </row>
    <row r="150" spans="1:16" ht="12">
      <c r="A150" s="29">
        <v>143</v>
      </c>
      <c r="B150" s="1" t="s">
        <v>270</v>
      </c>
      <c r="C150" s="8" t="s">
        <v>271</v>
      </c>
      <c r="D150" s="8" t="s">
        <v>16</v>
      </c>
      <c r="E150" s="8" t="s">
        <v>8</v>
      </c>
      <c r="F150" s="62">
        <v>1588327</v>
      </c>
      <c r="G150" s="77"/>
      <c r="H150" s="62">
        <f>F150</f>
        <v>1588327</v>
      </c>
      <c r="I150" s="62"/>
      <c r="J150" s="62"/>
      <c r="K150" s="16"/>
      <c r="L150" s="16"/>
      <c r="M150" s="16"/>
      <c r="N150" s="16"/>
      <c r="O150" s="16"/>
      <c r="P150" s="16"/>
    </row>
    <row r="151" spans="1:16" ht="12">
      <c r="A151" s="29">
        <v>144</v>
      </c>
      <c r="B151" s="1" t="s">
        <v>273</v>
      </c>
      <c r="C151" s="8" t="s">
        <v>274</v>
      </c>
      <c r="D151" s="8" t="s">
        <v>16</v>
      </c>
      <c r="E151" s="8" t="s">
        <v>8</v>
      </c>
      <c r="F151" s="62">
        <v>238323</v>
      </c>
      <c r="G151" s="77"/>
      <c r="H151" s="62">
        <f>F151</f>
        <v>238323</v>
      </c>
      <c r="I151" s="62"/>
      <c r="J151" s="62"/>
      <c r="K151" s="16"/>
      <c r="L151" s="16"/>
      <c r="M151" s="16"/>
      <c r="N151" s="16"/>
      <c r="O151" s="16"/>
      <c r="P151" s="16"/>
    </row>
    <row r="152" spans="1:16" ht="12">
      <c r="A152" s="29">
        <v>145</v>
      </c>
      <c r="B152" s="1" t="s">
        <v>275</v>
      </c>
      <c r="C152" s="8" t="s">
        <v>276</v>
      </c>
      <c r="D152" s="8" t="s">
        <v>16</v>
      </c>
      <c r="E152" s="8" t="s">
        <v>8</v>
      </c>
      <c r="F152" s="62">
        <v>4731693</v>
      </c>
      <c r="G152" s="77"/>
      <c r="H152" s="62">
        <f>F152</f>
        <v>4731693</v>
      </c>
      <c r="I152" s="62"/>
      <c r="J152" s="62"/>
      <c r="K152" s="16"/>
      <c r="L152" s="16"/>
      <c r="M152" s="16"/>
      <c r="N152" s="16"/>
      <c r="O152" s="16"/>
      <c r="P152" s="16"/>
    </row>
    <row r="153" spans="1:16" ht="24">
      <c r="A153" s="29">
        <v>146</v>
      </c>
      <c r="B153" s="25" t="s">
        <v>277</v>
      </c>
      <c r="C153" s="26" t="s">
        <v>278</v>
      </c>
      <c r="D153" s="26" t="s">
        <v>16</v>
      </c>
      <c r="E153" s="26" t="s">
        <v>517</v>
      </c>
      <c r="F153" s="62">
        <v>0</v>
      </c>
      <c r="G153" s="63" t="s">
        <v>651</v>
      </c>
      <c r="H153" s="62">
        <v>166000</v>
      </c>
      <c r="I153" s="62"/>
      <c r="J153" s="62"/>
      <c r="K153" s="16"/>
      <c r="L153" s="16"/>
      <c r="M153" s="16"/>
      <c r="N153" s="16"/>
      <c r="O153" s="16"/>
      <c r="P153" s="16"/>
    </row>
    <row r="154" spans="1:16" ht="12">
      <c r="A154" s="29">
        <v>147</v>
      </c>
      <c r="B154" s="25" t="s">
        <v>279</v>
      </c>
      <c r="C154" s="8" t="s">
        <v>280</v>
      </c>
      <c r="D154" s="8" t="s">
        <v>16</v>
      </c>
      <c r="E154" s="8" t="s">
        <v>8</v>
      </c>
      <c r="F154" s="62">
        <v>96918</v>
      </c>
      <c r="G154" s="77"/>
      <c r="H154" s="62">
        <f>F154</f>
        <v>96918</v>
      </c>
      <c r="I154" s="62"/>
      <c r="J154" s="62"/>
      <c r="K154" s="16"/>
      <c r="L154" s="16"/>
      <c r="M154" s="16"/>
      <c r="N154" s="16"/>
      <c r="O154" s="16"/>
      <c r="P154" s="16"/>
    </row>
    <row r="155" spans="1:16" ht="24">
      <c r="A155" s="29">
        <v>148</v>
      </c>
      <c r="B155" s="25" t="s">
        <v>281</v>
      </c>
      <c r="C155" s="26" t="s">
        <v>282</v>
      </c>
      <c r="D155" s="26" t="s">
        <v>16</v>
      </c>
      <c r="E155" s="8" t="s">
        <v>525</v>
      </c>
      <c r="F155" s="62">
        <v>133922</v>
      </c>
      <c r="G155" s="61" t="s">
        <v>625</v>
      </c>
      <c r="H155" s="62">
        <f>F155+24000</f>
        <v>157922</v>
      </c>
      <c r="I155" s="62"/>
      <c r="J155" s="62"/>
      <c r="K155" s="16"/>
      <c r="L155" s="16"/>
      <c r="M155" s="16"/>
      <c r="N155" s="16"/>
      <c r="O155" s="16"/>
      <c r="P155" s="16"/>
    </row>
    <row r="156" spans="1:16" ht="24">
      <c r="A156" s="29">
        <v>149</v>
      </c>
      <c r="B156" s="1" t="s">
        <v>283</v>
      </c>
      <c r="C156" s="8" t="s">
        <v>284</v>
      </c>
      <c r="D156" s="8" t="s">
        <v>16</v>
      </c>
      <c r="E156" s="8" t="s">
        <v>232</v>
      </c>
      <c r="F156" s="62">
        <v>0</v>
      </c>
      <c r="G156" s="61" t="s">
        <v>498</v>
      </c>
      <c r="H156" s="62">
        <f>5000</f>
        <v>5000</v>
      </c>
      <c r="I156" s="62"/>
      <c r="J156" s="62"/>
      <c r="K156" s="16"/>
      <c r="L156" s="16"/>
      <c r="M156" s="16"/>
      <c r="N156" s="16"/>
      <c r="O156" s="16"/>
      <c r="P156" s="16"/>
    </row>
    <row r="157" spans="1:16" ht="24">
      <c r="A157" s="29">
        <v>150</v>
      </c>
      <c r="B157" s="1" t="s">
        <v>285</v>
      </c>
      <c r="C157" s="8" t="s">
        <v>286</v>
      </c>
      <c r="D157" s="8" t="s">
        <v>16</v>
      </c>
      <c r="E157" s="8" t="s">
        <v>8</v>
      </c>
      <c r="F157" s="62">
        <v>958657</v>
      </c>
      <c r="G157" s="77"/>
      <c r="H157" s="62">
        <f>F157</f>
        <v>958657</v>
      </c>
      <c r="I157" s="62"/>
      <c r="J157" s="62"/>
      <c r="K157" s="16"/>
      <c r="L157" s="16"/>
      <c r="M157" s="16"/>
      <c r="N157" s="16"/>
      <c r="O157" s="16"/>
      <c r="P157" s="16"/>
    </row>
    <row r="158" spans="1:16" ht="22.5" customHeight="1">
      <c r="A158" s="29">
        <v>151</v>
      </c>
      <c r="B158" s="1" t="s">
        <v>287</v>
      </c>
      <c r="C158" s="8" t="s">
        <v>288</v>
      </c>
      <c r="D158" s="8" t="s">
        <v>16</v>
      </c>
      <c r="E158" s="8" t="s">
        <v>8</v>
      </c>
      <c r="F158" s="62">
        <v>3848714</v>
      </c>
      <c r="G158" s="77"/>
      <c r="H158" s="62">
        <f>F158</f>
        <v>3848714</v>
      </c>
      <c r="I158" s="62"/>
      <c r="J158" s="62"/>
      <c r="K158" s="16"/>
      <c r="L158" s="16"/>
      <c r="M158" s="16"/>
      <c r="N158" s="16"/>
      <c r="O158" s="16"/>
      <c r="P158" s="16"/>
    </row>
    <row r="159" spans="1:16" ht="12">
      <c r="A159" s="29">
        <v>152</v>
      </c>
      <c r="B159" s="1" t="s">
        <v>289</v>
      </c>
      <c r="C159" s="8" t="s">
        <v>290</v>
      </c>
      <c r="D159" s="8" t="s">
        <v>16</v>
      </c>
      <c r="E159" s="8" t="s">
        <v>291</v>
      </c>
      <c r="F159" s="62">
        <v>0</v>
      </c>
      <c r="G159" s="61" t="s">
        <v>640</v>
      </c>
      <c r="H159" s="62">
        <v>16300</v>
      </c>
      <c r="I159" s="62"/>
      <c r="J159" s="62"/>
      <c r="K159" s="16"/>
      <c r="L159" s="16"/>
      <c r="M159" s="16"/>
      <c r="N159" s="16"/>
      <c r="O159" s="16"/>
      <c r="P159" s="16"/>
    </row>
    <row r="160" spans="1:16" ht="12">
      <c r="A160" s="29">
        <v>153</v>
      </c>
      <c r="B160" s="1" t="s">
        <v>292</v>
      </c>
      <c r="C160" s="8" t="s">
        <v>293</v>
      </c>
      <c r="D160" s="8" t="s">
        <v>16</v>
      </c>
      <c r="E160" s="8" t="s">
        <v>291</v>
      </c>
      <c r="F160" s="62">
        <v>0</v>
      </c>
      <c r="G160" s="61" t="s">
        <v>640</v>
      </c>
      <c r="H160" s="62">
        <v>16300</v>
      </c>
      <c r="I160" s="62"/>
      <c r="J160" s="62"/>
      <c r="K160" s="16"/>
      <c r="L160" s="16"/>
      <c r="M160" s="16"/>
      <c r="N160" s="16"/>
      <c r="O160" s="16"/>
      <c r="P160" s="16"/>
    </row>
    <row r="161" spans="1:16" ht="12">
      <c r="A161" s="29">
        <v>154</v>
      </c>
      <c r="B161" s="1" t="s">
        <v>294</v>
      </c>
      <c r="C161" s="8" t="s">
        <v>295</v>
      </c>
      <c r="D161" s="8" t="s">
        <v>16</v>
      </c>
      <c r="E161" s="8" t="s">
        <v>8</v>
      </c>
      <c r="F161" s="62">
        <v>396309</v>
      </c>
      <c r="G161" s="77"/>
      <c r="H161" s="62">
        <f aca="true" t="shared" si="8" ref="H161:H166">F161</f>
        <v>396309</v>
      </c>
      <c r="I161" s="62"/>
      <c r="J161" s="62"/>
      <c r="K161" s="16"/>
      <c r="L161" s="16"/>
      <c r="M161" s="16"/>
      <c r="N161" s="16"/>
      <c r="O161" s="16"/>
      <c r="P161" s="16"/>
    </row>
    <row r="162" spans="1:16" ht="12">
      <c r="A162" s="29">
        <v>155</v>
      </c>
      <c r="B162" s="1" t="s">
        <v>296</v>
      </c>
      <c r="C162" s="8" t="s">
        <v>297</v>
      </c>
      <c r="D162" s="8" t="s">
        <v>16</v>
      </c>
      <c r="E162" s="8" t="s">
        <v>8</v>
      </c>
      <c r="F162" s="62">
        <v>2134818</v>
      </c>
      <c r="G162" s="77"/>
      <c r="H162" s="62">
        <f t="shared" si="8"/>
        <v>2134818</v>
      </c>
      <c r="I162" s="62"/>
      <c r="J162" s="62"/>
      <c r="K162" s="16"/>
      <c r="L162" s="16"/>
      <c r="M162" s="16"/>
      <c r="N162" s="16"/>
      <c r="O162" s="16"/>
      <c r="P162" s="16"/>
    </row>
    <row r="163" spans="1:16" ht="12">
      <c r="A163" s="29">
        <v>156</v>
      </c>
      <c r="B163" s="1" t="s">
        <v>298</v>
      </c>
      <c r="C163" s="8" t="s">
        <v>299</v>
      </c>
      <c r="D163" s="8" t="s">
        <v>16</v>
      </c>
      <c r="E163" s="8" t="s">
        <v>8</v>
      </c>
      <c r="F163" s="62">
        <v>11902</v>
      </c>
      <c r="G163" s="77"/>
      <c r="H163" s="62">
        <f t="shared" si="8"/>
        <v>11902</v>
      </c>
      <c r="I163" s="62"/>
      <c r="J163" s="62"/>
      <c r="K163" s="16"/>
      <c r="L163" s="16"/>
      <c r="M163" s="16"/>
      <c r="N163" s="16"/>
      <c r="O163" s="16"/>
      <c r="P163" s="16"/>
    </row>
    <row r="164" spans="1:16" ht="12">
      <c r="A164" s="29">
        <v>157</v>
      </c>
      <c r="B164" s="1" t="s">
        <v>300</v>
      </c>
      <c r="C164" s="8" t="s">
        <v>301</v>
      </c>
      <c r="D164" s="8" t="s">
        <v>16</v>
      </c>
      <c r="E164" s="8" t="s">
        <v>8</v>
      </c>
      <c r="F164" s="62">
        <v>76956</v>
      </c>
      <c r="G164" s="77"/>
      <c r="H164" s="62">
        <f t="shared" si="8"/>
        <v>76956</v>
      </c>
      <c r="I164" s="62"/>
      <c r="J164" s="62"/>
      <c r="K164" s="16"/>
      <c r="L164" s="16"/>
      <c r="M164" s="16"/>
      <c r="N164" s="16"/>
      <c r="O164" s="16"/>
      <c r="P164" s="16"/>
    </row>
    <row r="165" spans="1:16" ht="12">
      <c r="A165" s="29">
        <v>158</v>
      </c>
      <c r="B165" s="1" t="s">
        <v>302</v>
      </c>
      <c r="C165" s="8" t="s">
        <v>303</v>
      </c>
      <c r="D165" s="8" t="s">
        <v>16</v>
      </c>
      <c r="E165" s="8" t="s">
        <v>8</v>
      </c>
      <c r="F165" s="62">
        <v>4620</v>
      </c>
      <c r="G165" s="77"/>
      <c r="H165" s="62">
        <f t="shared" si="8"/>
        <v>4620</v>
      </c>
      <c r="I165" s="62"/>
      <c r="J165" s="62"/>
      <c r="K165" s="16"/>
      <c r="L165" s="16"/>
      <c r="M165" s="16"/>
      <c r="N165" s="16"/>
      <c r="O165" s="16"/>
      <c r="P165" s="16"/>
    </row>
    <row r="166" spans="1:16" ht="12" customHeight="1">
      <c r="A166" s="29">
        <v>159</v>
      </c>
      <c r="B166" s="1" t="s">
        <v>304</v>
      </c>
      <c r="C166" s="8" t="s">
        <v>305</v>
      </c>
      <c r="D166" s="8" t="s">
        <v>16</v>
      </c>
      <c r="E166" s="8" t="s">
        <v>8</v>
      </c>
      <c r="F166" s="62">
        <v>135366</v>
      </c>
      <c r="G166" s="77"/>
      <c r="H166" s="62">
        <f t="shared" si="8"/>
        <v>135366</v>
      </c>
      <c r="I166" s="62"/>
      <c r="J166" s="62"/>
      <c r="K166" s="16"/>
      <c r="L166" s="16"/>
      <c r="M166" s="16"/>
      <c r="N166" s="16"/>
      <c r="O166" s="16"/>
      <c r="P166" s="16"/>
    </row>
    <row r="167" spans="1:16" ht="24">
      <c r="A167" s="29">
        <v>160</v>
      </c>
      <c r="B167" s="1" t="s">
        <v>306</v>
      </c>
      <c r="C167" s="8" t="s">
        <v>307</v>
      </c>
      <c r="D167" s="8" t="s">
        <v>16</v>
      </c>
      <c r="E167" s="8" t="s">
        <v>308</v>
      </c>
      <c r="F167" s="62">
        <v>0</v>
      </c>
      <c r="G167" s="61" t="s">
        <v>611</v>
      </c>
      <c r="H167" s="62">
        <f>22700+159040</f>
        <v>181740</v>
      </c>
      <c r="I167" s="62"/>
      <c r="J167" s="62"/>
      <c r="K167" s="16"/>
      <c r="L167" s="16"/>
      <c r="M167" s="16"/>
      <c r="N167" s="16"/>
      <c r="O167" s="16"/>
      <c r="P167" s="16"/>
    </row>
    <row r="168" spans="1:16" ht="12">
      <c r="A168" s="29">
        <v>161</v>
      </c>
      <c r="B168" s="1" t="s">
        <v>309</v>
      </c>
      <c r="C168" s="8" t="s">
        <v>310</v>
      </c>
      <c r="D168" s="8" t="s">
        <v>16</v>
      </c>
      <c r="E168" s="8" t="s">
        <v>8</v>
      </c>
      <c r="F168" s="62">
        <v>36509</v>
      </c>
      <c r="G168" s="77"/>
      <c r="H168" s="62">
        <f aca="true" t="shared" si="9" ref="H168:H182">F168</f>
        <v>36509</v>
      </c>
      <c r="I168" s="62"/>
      <c r="J168" s="62"/>
      <c r="K168" s="16"/>
      <c r="L168" s="16"/>
      <c r="M168" s="16"/>
      <c r="N168" s="16"/>
      <c r="O168" s="16"/>
      <c r="P168" s="16"/>
    </row>
    <row r="169" spans="1:16" ht="12">
      <c r="A169" s="29">
        <v>162</v>
      </c>
      <c r="B169" s="1" t="s">
        <v>311</v>
      </c>
      <c r="C169" s="8" t="s">
        <v>312</v>
      </c>
      <c r="D169" s="8" t="s">
        <v>16</v>
      </c>
      <c r="E169" s="8" t="s">
        <v>8</v>
      </c>
      <c r="F169" s="62">
        <v>106135</v>
      </c>
      <c r="G169" s="77"/>
      <c r="H169" s="62">
        <f t="shared" si="9"/>
        <v>106135</v>
      </c>
      <c r="I169" s="62"/>
      <c r="J169" s="62"/>
      <c r="K169" s="16"/>
      <c r="L169" s="16"/>
      <c r="M169" s="16"/>
      <c r="N169" s="16"/>
      <c r="O169" s="16"/>
      <c r="P169" s="16"/>
    </row>
    <row r="170" spans="1:16" ht="12">
      <c r="A170" s="29">
        <v>163</v>
      </c>
      <c r="B170" s="15" t="s">
        <v>313</v>
      </c>
      <c r="C170" s="35" t="s">
        <v>314</v>
      </c>
      <c r="D170" s="8" t="s">
        <v>16</v>
      </c>
      <c r="E170" s="11" t="s">
        <v>8</v>
      </c>
      <c r="F170" s="62">
        <v>43776</v>
      </c>
      <c r="G170" s="77"/>
      <c r="H170" s="62">
        <f t="shared" si="9"/>
        <v>43776</v>
      </c>
      <c r="I170" s="62"/>
      <c r="J170" s="62"/>
      <c r="K170" s="16"/>
      <c r="L170" s="16"/>
      <c r="M170" s="16"/>
      <c r="N170" s="16"/>
      <c r="O170" s="16"/>
      <c r="P170" s="16"/>
    </row>
    <row r="171" spans="1:16" ht="24">
      <c r="A171" s="29">
        <v>164</v>
      </c>
      <c r="B171" s="1" t="s">
        <v>316</v>
      </c>
      <c r="C171" s="8" t="s">
        <v>317</v>
      </c>
      <c r="D171" s="8" t="s">
        <v>16</v>
      </c>
      <c r="E171" s="8" t="s">
        <v>8</v>
      </c>
      <c r="F171" s="62">
        <v>86039</v>
      </c>
      <c r="G171" s="77"/>
      <c r="H171" s="62">
        <f t="shared" si="9"/>
        <v>86039</v>
      </c>
      <c r="I171" s="62"/>
      <c r="J171" s="62"/>
      <c r="K171" s="16"/>
      <c r="L171" s="16"/>
      <c r="M171" s="16"/>
      <c r="N171" s="16"/>
      <c r="O171" s="16"/>
      <c r="P171" s="16"/>
    </row>
    <row r="172" spans="1:16" ht="24">
      <c r="A172" s="29">
        <v>165</v>
      </c>
      <c r="B172" s="1" t="s">
        <v>318</v>
      </c>
      <c r="C172" s="8" t="s">
        <v>319</v>
      </c>
      <c r="D172" s="8" t="s">
        <v>16</v>
      </c>
      <c r="E172" s="8" t="s">
        <v>8</v>
      </c>
      <c r="F172" s="62">
        <v>1763193</v>
      </c>
      <c r="G172" s="77"/>
      <c r="H172" s="62">
        <f t="shared" si="9"/>
        <v>1763193</v>
      </c>
      <c r="I172" s="62"/>
      <c r="J172" s="62"/>
      <c r="K172" s="16"/>
      <c r="L172" s="16"/>
      <c r="M172" s="16"/>
      <c r="N172" s="16"/>
      <c r="O172" s="16"/>
      <c r="P172" s="16"/>
    </row>
    <row r="173" spans="1:16" ht="12">
      <c r="A173" s="29">
        <v>166</v>
      </c>
      <c r="B173" s="1" t="s">
        <v>320</v>
      </c>
      <c r="C173" s="8" t="s">
        <v>321</v>
      </c>
      <c r="D173" s="8" t="s">
        <v>16</v>
      </c>
      <c r="E173" s="8" t="s">
        <v>8</v>
      </c>
      <c r="F173" s="62">
        <v>330614</v>
      </c>
      <c r="G173" s="77"/>
      <c r="H173" s="62">
        <f t="shared" si="9"/>
        <v>330614</v>
      </c>
      <c r="I173" s="62"/>
      <c r="J173" s="62"/>
      <c r="K173" s="16"/>
      <c r="L173" s="16"/>
      <c r="M173" s="16"/>
      <c r="N173" s="16"/>
      <c r="O173" s="16"/>
      <c r="P173" s="16"/>
    </row>
    <row r="174" spans="1:16" ht="24">
      <c r="A174" s="29">
        <v>167</v>
      </c>
      <c r="B174" s="1" t="s">
        <v>322</v>
      </c>
      <c r="C174" s="8" t="s">
        <v>323</v>
      </c>
      <c r="D174" s="8" t="s">
        <v>16</v>
      </c>
      <c r="E174" s="8" t="s">
        <v>8</v>
      </c>
      <c r="F174" s="62">
        <v>314887</v>
      </c>
      <c r="G174" s="77"/>
      <c r="H174" s="62">
        <f t="shared" si="9"/>
        <v>314887</v>
      </c>
      <c r="I174" s="62"/>
      <c r="J174" s="62"/>
      <c r="K174" s="16"/>
      <c r="L174" s="16"/>
      <c r="M174" s="16"/>
      <c r="N174" s="16"/>
      <c r="O174" s="16"/>
      <c r="P174" s="16"/>
    </row>
    <row r="175" spans="1:16" ht="13.5" customHeight="1">
      <c r="A175" s="29">
        <v>168</v>
      </c>
      <c r="B175" s="1" t="s">
        <v>324</v>
      </c>
      <c r="C175" s="8" t="s">
        <v>325</v>
      </c>
      <c r="D175" s="8" t="s">
        <v>16</v>
      </c>
      <c r="E175" s="8" t="s">
        <v>8</v>
      </c>
      <c r="F175" s="62">
        <v>64117</v>
      </c>
      <c r="G175" s="77"/>
      <c r="H175" s="62">
        <f t="shared" si="9"/>
        <v>64117</v>
      </c>
      <c r="I175" s="62"/>
      <c r="J175" s="62"/>
      <c r="K175" s="16"/>
      <c r="L175" s="16"/>
      <c r="M175" s="16"/>
      <c r="N175" s="16"/>
      <c r="O175" s="16"/>
      <c r="P175" s="16"/>
    </row>
    <row r="176" spans="1:16" ht="12">
      <c r="A176" s="29">
        <v>169</v>
      </c>
      <c r="B176" s="1" t="s">
        <v>326</v>
      </c>
      <c r="C176" s="113" t="s">
        <v>327</v>
      </c>
      <c r="D176" s="8" t="s">
        <v>16</v>
      </c>
      <c r="E176" s="8" t="s">
        <v>8</v>
      </c>
      <c r="F176" s="62">
        <v>612415</v>
      </c>
      <c r="G176" s="77"/>
      <c r="H176" s="62">
        <f t="shared" si="9"/>
        <v>612415</v>
      </c>
      <c r="I176" s="62"/>
      <c r="J176" s="62"/>
      <c r="K176" s="16"/>
      <c r="L176" s="16"/>
      <c r="M176" s="16"/>
      <c r="N176" s="16"/>
      <c r="O176" s="16"/>
      <c r="P176" s="16"/>
    </row>
    <row r="177" spans="1:16" ht="24">
      <c r="A177" s="29">
        <v>170</v>
      </c>
      <c r="B177" s="1" t="s">
        <v>328</v>
      </c>
      <c r="C177" s="114" t="s">
        <v>505</v>
      </c>
      <c r="D177" s="26" t="s">
        <v>16</v>
      </c>
      <c r="E177" s="26" t="s">
        <v>663</v>
      </c>
      <c r="F177" s="62">
        <v>2191</v>
      </c>
      <c r="G177" s="63" t="s">
        <v>664</v>
      </c>
      <c r="H177" s="62">
        <f>F177+105000+20000</f>
        <v>127191</v>
      </c>
      <c r="I177" s="62"/>
      <c r="J177" s="62"/>
      <c r="K177" s="16"/>
      <c r="L177" s="16"/>
      <c r="M177" s="16"/>
      <c r="N177" s="16"/>
      <c r="O177" s="16"/>
      <c r="P177" s="16"/>
    </row>
    <row r="178" spans="1:16" ht="24">
      <c r="A178" s="29">
        <v>171</v>
      </c>
      <c r="B178" s="1" t="s">
        <v>329</v>
      </c>
      <c r="C178" s="113" t="s">
        <v>330</v>
      </c>
      <c r="D178" s="8" t="s">
        <v>16</v>
      </c>
      <c r="E178" s="8" t="s">
        <v>8</v>
      </c>
      <c r="F178" s="62">
        <v>2191</v>
      </c>
      <c r="G178" s="77"/>
      <c r="H178" s="62">
        <f t="shared" si="9"/>
        <v>2191</v>
      </c>
      <c r="I178" s="62"/>
      <c r="J178" s="62"/>
      <c r="K178" s="16"/>
      <c r="L178" s="16"/>
      <c r="M178" s="16"/>
      <c r="N178" s="16"/>
      <c r="O178" s="16"/>
      <c r="P178" s="16"/>
    </row>
    <row r="179" spans="1:16" ht="12">
      <c r="A179" s="29">
        <v>172</v>
      </c>
      <c r="B179" s="1" t="s">
        <v>331</v>
      </c>
      <c r="C179" s="113" t="s">
        <v>332</v>
      </c>
      <c r="D179" s="8" t="s">
        <v>16</v>
      </c>
      <c r="E179" s="8" t="s">
        <v>8</v>
      </c>
      <c r="F179" s="62">
        <v>2191</v>
      </c>
      <c r="G179" s="77"/>
      <c r="H179" s="62">
        <f t="shared" si="9"/>
        <v>2191</v>
      </c>
      <c r="I179" s="62"/>
      <c r="J179" s="62"/>
      <c r="K179" s="16"/>
      <c r="L179" s="16"/>
      <c r="M179" s="16"/>
      <c r="N179" s="16"/>
      <c r="O179" s="16"/>
      <c r="P179" s="16"/>
    </row>
    <row r="180" spans="1:16" ht="12">
      <c r="A180" s="29">
        <v>173</v>
      </c>
      <c r="B180" s="1" t="s">
        <v>333</v>
      </c>
      <c r="C180" s="113" t="s">
        <v>334</v>
      </c>
      <c r="D180" s="8" t="s">
        <v>16</v>
      </c>
      <c r="E180" s="8" t="s">
        <v>8</v>
      </c>
      <c r="F180" s="62">
        <v>2191</v>
      </c>
      <c r="G180" s="77"/>
      <c r="H180" s="62">
        <f t="shared" si="9"/>
        <v>2191</v>
      </c>
      <c r="I180" s="62"/>
      <c r="J180" s="62"/>
      <c r="K180" s="16"/>
      <c r="L180" s="16"/>
      <c r="M180" s="16"/>
      <c r="N180" s="16"/>
      <c r="O180" s="16"/>
      <c r="P180" s="16"/>
    </row>
    <row r="181" spans="1:16" ht="12">
      <c r="A181" s="29">
        <v>174</v>
      </c>
      <c r="B181" s="1" t="s">
        <v>335</v>
      </c>
      <c r="C181" s="115" t="s">
        <v>487</v>
      </c>
      <c r="D181" s="8" t="s">
        <v>16</v>
      </c>
      <c r="E181" s="8" t="s">
        <v>8</v>
      </c>
      <c r="F181" s="86">
        <v>2191</v>
      </c>
      <c r="G181" s="77"/>
      <c r="H181" s="62">
        <f t="shared" si="9"/>
        <v>2191</v>
      </c>
      <c r="I181" s="62"/>
      <c r="J181" s="62"/>
      <c r="K181" s="16"/>
      <c r="L181" s="16"/>
      <c r="M181" s="16"/>
      <c r="N181" s="16"/>
      <c r="O181" s="16"/>
      <c r="P181" s="16"/>
    </row>
    <row r="182" spans="1:16" ht="12">
      <c r="A182" s="29">
        <v>175</v>
      </c>
      <c r="B182" s="1" t="s">
        <v>336</v>
      </c>
      <c r="C182" s="113" t="s">
        <v>337</v>
      </c>
      <c r="D182" s="8" t="s">
        <v>16</v>
      </c>
      <c r="E182" s="85" t="s">
        <v>8</v>
      </c>
      <c r="F182" s="95">
        <v>2191</v>
      </c>
      <c r="G182" s="106"/>
      <c r="H182" s="62">
        <f t="shared" si="9"/>
        <v>2191</v>
      </c>
      <c r="I182" s="62"/>
      <c r="J182" s="62"/>
      <c r="K182" s="16"/>
      <c r="L182" s="16"/>
      <c r="M182" s="16"/>
      <c r="N182" s="16"/>
      <c r="O182" s="16"/>
      <c r="P182" s="16"/>
    </row>
    <row r="183" spans="1:16" ht="12">
      <c r="A183" s="29">
        <v>176</v>
      </c>
      <c r="B183" s="1" t="s">
        <v>338</v>
      </c>
      <c r="C183" s="114" t="s">
        <v>339</v>
      </c>
      <c r="D183" s="26" t="s">
        <v>16</v>
      </c>
      <c r="E183" s="92" t="s">
        <v>232</v>
      </c>
      <c r="F183" s="96">
        <v>0</v>
      </c>
      <c r="G183" s="93" t="s">
        <v>575</v>
      </c>
      <c r="H183" s="62">
        <f>345500</f>
        <v>345500</v>
      </c>
      <c r="I183" s="62"/>
      <c r="J183" s="62"/>
      <c r="K183" s="16"/>
      <c r="L183" s="16"/>
      <c r="M183" s="16"/>
      <c r="N183" s="16"/>
      <c r="O183" s="16"/>
      <c r="P183" s="16"/>
    </row>
    <row r="184" spans="1:16" ht="12">
      <c r="A184" s="29">
        <v>177</v>
      </c>
      <c r="B184" s="1" t="s">
        <v>340</v>
      </c>
      <c r="C184" s="8" t="s">
        <v>341</v>
      </c>
      <c r="D184" s="8" t="s">
        <v>16</v>
      </c>
      <c r="E184" s="85" t="s">
        <v>8</v>
      </c>
      <c r="F184" s="95">
        <v>207145</v>
      </c>
      <c r="G184" s="106"/>
      <c r="H184" s="62">
        <f>F184</f>
        <v>207145</v>
      </c>
      <c r="I184" s="62"/>
      <c r="J184" s="62"/>
      <c r="K184" s="16"/>
      <c r="L184" s="16"/>
      <c r="M184" s="16"/>
      <c r="N184" s="16"/>
      <c r="O184" s="16"/>
      <c r="P184" s="16"/>
    </row>
    <row r="185" spans="1:16" ht="24.75" customHeight="1">
      <c r="A185" s="29">
        <v>178</v>
      </c>
      <c r="B185" s="1" t="s">
        <v>342</v>
      </c>
      <c r="C185" s="26" t="s">
        <v>343</v>
      </c>
      <c r="D185" s="26" t="s">
        <v>16</v>
      </c>
      <c r="E185" s="92" t="s">
        <v>572</v>
      </c>
      <c r="F185" s="95">
        <v>120455</v>
      </c>
      <c r="G185" s="94" t="s">
        <v>617</v>
      </c>
      <c r="H185" s="67">
        <f>F185+248679</f>
        <v>369134</v>
      </c>
      <c r="I185" s="67"/>
      <c r="J185" s="67"/>
      <c r="K185" s="16"/>
      <c r="L185" s="16"/>
      <c r="M185" s="16"/>
      <c r="N185" s="16"/>
      <c r="O185" s="16"/>
      <c r="P185" s="16"/>
    </row>
    <row r="186" spans="1:16" ht="24">
      <c r="A186" s="29">
        <v>179</v>
      </c>
      <c r="B186" s="1" t="s">
        <v>344</v>
      </c>
      <c r="C186" s="26" t="s">
        <v>345</v>
      </c>
      <c r="D186" s="26" t="s">
        <v>16</v>
      </c>
      <c r="E186" s="26" t="s">
        <v>8</v>
      </c>
      <c r="F186" s="88">
        <v>24796</v>
      </c>
      <c r="G186" s="90"/>
      <c r="H186" s="67">
        <f>F186</f>
        <v>24796</v>
      </c>
      <c r="I186" s="67"/>
      <c r="J186" s="67"/>
      <c r="K186" s="16"/>
      <c r="L186" s="16"/>
      <c r="M186" s="16"/>
      <c r="N186" s="16"/>
      <c r="O186" s="16"/>
      <c r="P186" s="16"/>
    </row>
    <row r="187" spans="1:16" ht="24">
      <c r="A187" s="29">
        <v>180</v>
      </c>
      <c r="B187" s="1" t="s">
        <v>346</v>
      </c>
      <c r="C187" s="26" t="s">
        <v>347</v>
      </c>
      <c r="D187" s="26" t="s">
        <v>16</v>
      </c>
      <c r="E187" s="26" t="s">
        <v>572</v>
      </c>
      <c r="F187" s="62">
        <v>158906</v>
      </c>
      <c r="G187" s="65" t="s">
        <v>618</v>
      </c>
      <c r="H187" s="67">
        <f>F187+6420558</f>
        <v>6579464</v>
      </c>
      <c r="I187" s="67"/>
      <c r="J187" s="67"/>
      <c r="K187" s="16"/>
      <c r="L187" s="16"/>
      <c r="M187" s="16"/>
      <c r="N187" s="16"/>
      <c r="O187" s="16"/>
      <c r="P187" s="16"/>
    </row>
    <row r="188" spans="1:16" ht="24">
      <c r="A188" s="29">
        <v>181</v>
      </c>
      <c r="B188" s="1" t="s">
        <v>348</v>
      </c>
      <c r="C188" s="8" t="s">
        <v>349</v>
      </c>
      <c r="D188" s="8" t="s">
        <v>16</v>
      </c>
      <c r="E188" s="8" t="s">
        <v>572</v>
      </c>
      <c r="F188" s="62">
        <v>171727</v>
      </c>
      <c r="G188" s="63"/>
      <c r="H188" s="97">
        <f>F188</f>
        <v>171727</v>
      </c>
      <c r="I188" s="62"/>
      <c r="J188" s="62"/>
      <c r="K188" s="16"/>
      <c r="L188" s="16"/>
      <c r="M188" s="16"/>
      <c r="N188" s="16"/>
      <c r="O188" s="16"/>
      <c r="P188" s="16"/>
    </row>
    <row r="189" spans="1:16" ht="12">
      <c r="A189" s="29">
        <v>182</v>
      </c>
      <c r="B189" s="1" t="s">
        <v>350</v>
      </c>
      <c r="C189" s="26" t="s">
        <v>351</v>
      </c>
      <c r="D189" s="26" t="s">
        <v>16</v>
      </c>
      <c r="E189" s="26" t="s">
        <v>527</v>
      </c>
      <c r="F189" s="62">
        <v>1384117</v>
      </c>
      <c r="G189" s="63" t="s">
        <v>500</v>
      </c>
      <c r="H189" s="62">
        <f>F189</f>
        <v>1384117</v>
      </c>
      <c r="I189" s="62"/>
      <c r="J189" s="62">
        <f>50000+30000</f>
        <v>80000</v>
      </c>
      <c r="K189" s="16"/>
      <c r="L189" s="16"/>
      <c r="M189" s="16"/>
      <c r="N189" s="16"/>
      <c r="O189" s="16"/>
      <c r="P189" s="16"/>
    </row>
    <row r="190" spans="1:16" ht="12">
      <c r="A190" s="29">
        <v>183</v>
      </c>
      <c r="B190" s="1" t="s">
        <v>488</v>
      </c>
      <c r="C190" s="8" t="s">
        <v>18</v>
      </c>
      <c r="D190" s="8" t="s">
        <v>16</v>
      </c>
      <c r="E190" s="8" t="s">
        <v>542</v>
      </c>
      <c r="F190" s="62">
        <v>287897</v>
      </c>
      <c r="G190" s="63"/>
      <c r="H190" s="62">
        <f>F190</f>
        <v>287897</v>
      </c>
      <c r="I190" s="62"/>
      <c r="J190" s="62"/>
      <c r="K190" s="16"/>
      <c r="L190" s="16"/>
      <c r="M190" s="16"/>
      <c r="N190" s="16"/>
      <c r="O190" s="16"/>
      <c r="P190" s="16"/>
    </row>
    <row r="191" spans="1:16" ht="12">
      <c r="A191" s="29">
        <v>184</v>
      </c>
      <c r="B191" s="1" t="s">
        <v>489</v>
      </c>
      <c r="C191" s="8" t="s">
        <v>260</v>
      </c>
      <c r="D191" s="8" t="s">
        <v>16</v>
      </c>
      <c r="E191" s="8" t="s">
        <v>8</v>
      </c>
      <c r="F191" s="62">
        <v>162641</v>
      </c>
      <c r="G191" s="63"/>
      <c r="H191" s="62">
        <f aca="true" t="shared" si="10" ref="H191:H196">F191</f>
        <v>162641</v>
      </c>
      <c r="I191" s="62"/>
      <c r="J191" s="62"/>
      <c r="K191" s="16"/>
      <c r="L191" s="16"/>
      <c r="M191" s="16"/>
      <c r="N191" s="16"/>
      <c r="O191" s="16"/>
      <c r="P191" s="16"/>
    </row>
    <row r="192" spans="1:16" ht="12">
      <c r="A192" s="29">
        <v>185</v>
      </c>
      <c r="B192" s="1" t="s">
        <v>490</v>
      </c>
      <c r="C192" s="8" t="s">
        <v>261</v>
      </c>
      <c r="D192" s="8" t="s">
        <v>16</v>
      </c>
      <c r="E192" s="8" t="s">
        <v>8</v>
      </c>
      <c r="F192" s="62">
        <v>81877</v>
      </c>
      <c r="G192" s="63"/>
      <c r="H192" s="62">
        <f t="shared" si="10"/>
        <v>81877</v>
      </c>
      <c r="I192" s="62"/>
      <c r="J192" s="62"/>
      <c r="K192" s="16"/>
      <c r="L192" s="16"/>
      <c r="M192" s="16"/>
      <c r="N192" s="16"/>
      <c r="O192" s="16"/>
      <c r="P192" s="16"/>
    </row>
    <row r="193" spans="1:16" ht="23.25" customHeight="1">
      <c r="A193" s="29">
        <v>186</v>
      </c>
      <c r="B193" s="1" t="s">
        <v>491</v>
      </c>
      <c r="C193" s="26" t="s">
        <v>262</v>
      </c>
      <c r="D193" s="26" t="s">
        <v>16</v>
      </c>
      <c r="E193" s="26" t="s">
        <v>541</v>
      </c>
      <c r="F193" s="14">
        <v>0</v>
      </c>
      <c r="G193" s="64" t="s">
        <v>502</v>
      </c>
      <c r="H193" s="62">
        <f t="shared" si="10"/>
        <v>0</v>
      </c>
      <c r="I193" s="62"/>
      <c r="J193" s="62">
        <f>32000+10000</f>
        <v>42000</v>
      </c>
      <c r="K193" s="16"/>
      <c r="L193" s="16"/>
      <c r="M193" s="16"/>
      <c r="N193" s="16"/>
      <c r="O193" s="16"/>
      <c r="P193" s="16"/>
    </row>
    <row r="194" spans="1:16" ht="12">
      <c r="A194" s="29">
        <v>187</v>
      </c>
      <c r="B194" s="1" t="s">
        <v>492</v>
      </c>
      <c r="C194" s="8" t="s">
        <v>263</v>
      </c>
      <c r="D194" s="8" t="s">
        <v>16</v>
      </c>
      <c r="E194" s="8" t="s">
        <v>8</v>
      </c>
      <c r="F194" s="62">
        <v>7483</v>
      </c>
      <c r="G194" s="63"/>
      <c r="H194" s="62">
        <f t="shared" si="10"/>
        <v>7483</v>
      </c>
      <c r="I194" s="62"/>
      <c r="J194" s="62"/>
      <c r="K194" s="16"/>
      <c r="L194" s="16"/>
      <c r="M194" s="16"/>
      <c r="N194" s="16"/>
      <c r="O194" s="16"/>
      <c r="P194" s="16"/>
    </row>
    <row r="195" spans="1:16" ht="12">
      <c r="A195" s="29">
        <v>188</v>
      </c>
      <c r="B195" s="1" t="s">
        <v>493</v>
      </c>
      <c r="C195" s="8" t="s">
        <v>264</v>
      </c>
      <c r="D195" s="8" t="s">
        <v>16</v>
      </c>
      <c r="E195" s="8" t="s">
        <v>8</v>
      </c>
      <c r="F195" s="62">
        <v>44895</v>
      </c>
      <c r="G195" s="63"/>
      <c r="H195" s="62">
        <f t="shared" si="10"/>
        <v>44895</v>
      </c>
      <c r="I195" s="62"/>
      <c r="J195" s="62"/>
      <c r="K195" s="16"/>
      <c r="L195" s="16"/>
      <c r="M195" s="16"/>
      <c r="N195" s="16"/>
      <c r="O195" s="16"/>
      <c r="P195" s="16"/>
    </row>
    <row r="196" spans="1:16" ht="12">
      <c r="A196" s="29">
        <v>189</v>
      </c>
      <c r="B196" s="1" t="s">
        <v>494</v>
      </c>
      <c r="C196" s="8" t="s">
        <v>272</v>
      </c>
      <c r="D196" s="8" t="s">
        <v>16</v>
      </c>
      <c r="E196" s="8" t="s">
        <v>8</v>
      </c>
      <c r="F196" s="62">
        <v>67343</v>
      </c>
      <c r="G196" s="63"/>
      <c r="H196" s="62">
        <f t="shared" si="10"/>
        <v>67343</v>
      </c>
      <c r="I196" s="62"/>
      <c r="J196" s="62"/>
      <c r="K196" s="16"/>
      <c r="L196" s="16"/>
      <c r="M196" s="16"/>
      <c r="N196" s="16"/>
      <c r="O196" s="16"/>
      <c r="P196" s="16"/>
    </row>
    <row r="197" spans="1:16" ht="25.5" customHeight="1">
      <c r="A197" s="29">
        <v>190</v>
      </c>
      <c r="B197" s="1" t="s">
        <v>352</v>
      </c>
      <c r="C197" s="8" t="s">
        <v>353</v>
      </c>
      <c r="D197" s="8" t="s">
        <v>16</v>
      </c>
      <c r="E197" s="8" t="s">
        <v>8</v>
      </c>
      <c r="F197" s="62">
        <v>6266512</v>
      </c>
      <c r="G197" s="77"/>
      <c r="H197" s="62">
        <f aca="true" t="shared" si="11" ref="H197:H235">F197</f>
        <v>6266512</v>
      </c>
      <c r="I197" s="62"/>
      <c r="J197" s="62"/>
      <c r="K197" s="16"/>
      <c r="L197" s="16"/>
      <c r="M197" s="16"/>
      <c r="N197" s="16"/>
      <c r="O197" s="16"/>
      <c r="P197" s="16"/>
    </row>
    <row r="198" spans="1:16" ht="24">
      <c r="A198" s="29">
        <v>191</v>
      </c>
      <c r="B198" s="1" t="s">
        <v>354</v>
      </c>
      <c r="C198" s="8" t="s">
        <v>355</v>
      </c>
      <c r="D198" s="8" t="s">
        <v>16</v>
      </c>
      <c r="E198" s="8" t="s">
        <v>8</v>
      </c>
      <c r="F198" s="62">
        <v>7940341</v>
      </c>
      <c r="G198" s="77"/>
      <c r="H198" s="62">
        <f t="shared" si="11"/>
        <v>7940341</v>
      </c>
      <c r="I198" s="62"/>
      <c r="J198" s="62"/>
      <c r="K198" s="16"/>
      <c r="L198" s="16"/>
      <c r="M198" s="16"/>
      <c r="N198" s="16"/>
      <c r="O198" s="16"/>
      <c r="P198" s="16"/>
    </row>
    <row r="199" spans="1:16" ht="24">
      <c r="A199" s="29">
        <v>192</v>
      </c>
      <c r="B199" s="1" t="s">
        <v>356</v>
      </c>
      <c r="C199" s="8" t="s">
        <v>357</v>
      </c>
      <c r="D199" s="8" t="s">
        <v>16</v>
      </c>
      <c r="E199" s="8" t="s">
        <v>8</v>
      </c>
      <c r="F199" s="62">
        <v>10209563</v>
      </c>
      <c r="G199" s="77"/>
      <c r="H199" s="62">
        <f t="shared" si="11"/>
        <v>10209563</v>
      </c>
      <c r="I199" s="62"/>
      <c r="J199" s="62"/>
      <c r="K199" s="16"/>
      <c r="L199" s="16"/>
      <c r="M199" s="16"/>
      <c r="N199" s="16"/>
      <c r="O199" s="16"/>
      <c r="P199" s="16"/>
    </row>
    <row r="200" spans="1:16" ht="12">
      <c r="A200" s="29">
        <v>193</v>
      </c>
      <c r="B200" s="1" t="s">
        <v>358</v>
      </c>
      <c r="C200" s="8" t="s">
        <v>532</v>
      </c>
      <c r="D200" s="8" t="s">
        <v>16</v>
      </c>
      <c r="E200" s="8" t="s">
        <v>8</v>
      </c>
      <c r="F200" s="62">
        <v>857590</v>
      </c>
      <c r="G200" s="77"/>
      <c r="H200" s="62">
        <f t="shared" si="11"/>
        <v>857590</v>
      </c>
      <c r="I200" s="62"/>
      <c r="J200" s="62"/>
      <c r="K200" s="16"/>
      <c r="L200" s="16"/>
      <c r="M200" s="16"/>
      <c r="N200" s="16"/>
      <c r="O200" s="16"/>
      <c r="P200" s="16"/>
    </row>
    <row r="201" spans="1:16" ht="12">
      <c r="A201" s="29">
        <v>194</v>
      </c>
      <c r="B201" s="1" t="s">
        <v>359</v>
      </c>
      <c r="C201" s="8" t="s">
        <v>360</v>
      </c>
      <c r="D201" s="8" t="s">
        <v>16</v>
      </c>
      <c r="E201" s="8" t="s">
        <v>8</v>
      </c>
      <c r="F201" s="62">
        <v>2124496</v>
      </c>
      <c r="G201" s="77"/>
      <c r="H201" s="62">
        <f t="shared" si="11"/>
        <v>2124496</v>
      </c>
      <c r="I201" s="62"/>
      <c r="J201" s="62"/>
      <c r="K201" s="16"/>
      <c r="L201" s="16"/>
      <c r="M201" s="16"/>
      <c r="N201" s="16"/>
      <c r="O201" s="16"/>
      <c r="P201" s="16"/>
    </row>
    <row r="202" spans="1:16" ht="12">
      <c r="A202" s="29">
        <v>195</v>
      </c>
      <c r="B202" s="1" t="s">
        <v>361</v>
      </c>
      <c r="C202" s="8" t="s">
        <v>362</v>
      </c>
      <c r="D202" s="8" t="s">
        <v>16</v>
      </c>
      <c r="E202" s="8" t="s">
        <v>8</v>
      </c>
      <c r="F202" s="62">
        <v>1841155</v>
      </c>
      <c r="G202" s="77"/>
      <c r="H202" s="62">
        <f t="shared" si="11"/>
        <v>1841155</v>
      </c>
      <c r="I202" s="62"/>
      <c r="J202" s="62"/>
      <c r="K202" s="16"/>
      <c r="L202" s="16"/>
      <c r="M202" s="16"/>
      <c r="N202" s="16"/>
      <c r="O202" s="16"/>
      <c r="P202" s="16"/>
    </row>
    <row r="203" spans="1:16" ht="13.5" customHeight="1">
      <c r="A203" s="29">
        <v>196</v>
      </c>
      <c r="B203" s="1" t="s">
        <v>363</v>
      </c>
      <c r="C203" s="8" t="s">
        <v>364</v>
      </c>
      <c r="D203" s="8" t="s">
        <v>16</v>
      </c>
      <c r="E203" s="8" t="s">
        <v>8</v>
      </c>
      <c r="F203" s="62">
        <v>629177</v>
      </c>
      <c r="G203" s="77"/>
      <c r="H203" s="62">
        <f t="shared" si="11"/>
        <v>629177</v>
      </c>
      <c r="I203" s="62"/>
      <c r="J203" s="62"/>
      <c r="K203" s="16"/>
      <c r="L203" s="16"/>
      <c r="M203" s="16"/>
      <c r="N203" s="16"/>
      <c r="O203" s="16"/>
      <c r="P203" s="16"/>
    </row>
    <row r="204" spans="1:16" ht="12">
      <c r="A204" s="29">
        <v>197</v>
      </c>
      <c r="B204" s="1" t="s">
        <v>365</v>
      </c>
      <c r="C204" s="8" t="s">
        <v>366</v>
      </c>
      <c r="D204" s="8" t="s">
        <v>16</v>
      </c>
      <c r="E204" s="8" t="s">
        <v>8</v>
      </c>
      <c r="F204" s="62">
        <v>102630</v>
      </c>
      <c r="G204" s="77"/>
      <c r="H204" s="62">
        <f t="shared" si="11"/>
        <v>102630</v>
      </c>
      <c r="I204" s="62"/>
      <c r="J204" s="62"/>
      <c r="K204" s="16"/>
      <c r="L204" s="16"/>
      <c r="M204" s="16"/>
      <c r="N204" s="16"/>
      <c r="O204" s="16"/>
      <c r="P204" s="16"/>
    </row>
    <row r="205" spans="1:16" ht="12">
      <c r="A205" s="29">
        <v>198</v>
      </c>
      <c r="B205" s="1" t="s">
        <v>367</v>
      </c>
      <c r="C205" s="8" t="s">
        <v>368</v>
      </c>
      <c r="D205" s="8" t="s">
        <v>16</v>
      </c>
      <c r="E205" s="8" t="s">
        <v>8</v>
      </c>
      <c r="F205" s="62">
        <v>858552</v>
      </c>
      <c r="G205" s="77"/>
      <c r="H205" s="62">
        <f t="shared" si="11"/>
        <v>858552</v>
      </c>
      <c r="I205" s="62"/>
      <c r="J205" s="62"/>
      <c r="K205" s="16"/>
      <c r="L205" s="16"/>
      <c r="M205" s="16"/>
      <c r="N205" s="16"/>
      <c r="O205" s="16"/>
      <c r="P205" s="16"/>
    </row>
    <row r="206" spans="1:16" ht="24">
      <c r="A206" s="29">
        <v>199</v>
      </c>
      <c r="B206" s="1" t="s">
        <v>369</v>
      </c>
      <c r="C206" s="8" t="s">
        <v>370</v>
      </c>
      <c r="D206" s="8" t="s">
        <v>16</v>
      </c>
      <c r="E206" s="8" t="s">
        <v>8</v>
      </c>
      <c r="F206" s="62">
        <v>1017611</v>
      </c>
      <c r="G206" s="77"/>
      <c r="H206" s="62">
        <f t="shared" si="11"/>
        <v>1017611</v>
      </c>
      <c r="I206" s="62"/>
      <c r="J206" s="62"/>
      <c r="K206" s="16"/>
      <c r="L206" s="16"/>
      <c r="M206" s="16"/>
      <c r="N206" s="16"/>
      <c r="O206" s="16"/>
      <c r="P206" s="16"/>
    </row>
    <row r="207" spans="1:16" ht="24">
      <c r="A207" s="29">
        <v>200</v>
      </c>
      <c r="B207" s="17" t="s">
        <v>371</v>
      </c>
      <c r="C207" s="10" t="s">
        <v>372</v>
      </c>
      <c r="D207" s="10" t="s">
        <v>16</v>
      </c>
      <c r="E207" s="10" t="s">
        <v>8</v>
      </c>
      <c r="F207" s="98">
        <v>455815</v>
      </c>
      <c r="G207" s="10"/>
      <c r="H207" s="97">
        <f t="shared" si="11"/>
        <v>455815</v>
      </c>
      <c r="I207" s="10"/>
      <c r="J207" s="10"/>
      <c r="K207" s="16"/>
      <c r="L207" s="16"/>
      <c r="M207" s="16"/>
      <c r="N207" s="16"/>
      <c r="O207" s="16"/>
      <c r="P207" s="16"/>
    </row>
    <row r="208" spans="1:16" ht="12">
      <c r="A208" s="29">
        <v>201</v>
      </c>
      <c r="B208" s="34" t="s">
        <v>495</v>
      </c>
      <c r="C208" s="35" t="s">
        <v>496</v>
      </c>
      <c r="D208" s="10" t="s">
        <v>16</v>
      </c>
      <c r="E208" s="35" t="s">
        <v>8</v>
      </c>
      <c r="F208" s="99">
        <v>97218</v>
      </c>
      <c r="G208" s="35"/>
      <c r="H208" s="67">
        <f t="shared" si="11"/>
        <v>97218</v>
      </c>
      <c r="I208" s="35"/>
      <c r="J208" s="35"/>
      <c r="K208" s="16"/>
      <c r="L208" s="16"/>
      <c r="M208" s="16"/>
      <c r="N208" s="16"/>
      <c r="O208" s="16"/>
      <c r="P208" s="16"/>
    </row>
    <row r="209" spans="1:16" ht="12">
      <c r="A209" s="29">
        <v>202</v>
      </c>
      <c r="B209" s="1" t="s">
        <v>373</v>
      </c>
      <c r="C209" s="8" t="s">
        <v>374</v>
      </c>
      <c r="D209" s="8" t="s">
        <v>16</v>
      </c>
      <c r="E209" s="8" t="s">
        <v>8</v>
      </c>
      <c r="F209" s="62">
        <v>97828</v>
      </c>
      <c r="G209" s="77"/>
      <c r="H209" s="62">
        <f t="shared" si="11"/>
        <v>97828</v>
      </c>
      <c r="I209" s="62"/>
      <c r="J209" s="86"/>
      <c r="K209" s="16"/>
      <c r="L209" s="16"/>
      <c r="M209" s="16"/>
      <c r="N209" s="16"/>
      <c r="O209" s="16"/>
      <c r="P209" s="16"/>
    </row>
    <row r="210" spans="1:16" ht="24">
      <c r="A210" s="29">
        <v>203</v>
      </c>
      <c r="B210" s="1" t="s">
        <v>375</v>
      </c>
      <c r="C210" s="8" t="s">
        <v>376</v>
      </c>
      <c r="D210" s="8" t="s">
        <v>16</v>
      </c>
      <c r="E210" s="8" t="s">
        <v>528</v>
      </c>
      <c r="F210" s="62">
        <v>38767</v>
      </c>
      <c r="G210" s="61" t="s">
        <v>623</v>
      </c>
      <c r="H210" s="62">
        <f t="shared" si="11"/>
        <v>38767</v>
      </c>
      <c r="I210" s="100">
        <f>70000</f>
        <v>70000</v>
      </c>
      <c r="J210" s="107"/>
      <c r="K210" s="16"/>
      <c r="L210" s="16"/>
      <c r="M210" s="16"/>
      <c r="N210" s="16"/>
      <c r="O210" s="16"/>
      <c r="P210" s="16"/>
    </row>
    <row r="211" spans="1:16" ht="24">
      <c r="A211" s="29">
        <v>204</v>
      </c>
      <c r="B211" s="1" t="s">
        <v>377</v>
      </c>
      <c r="C211" s="8" t="s">
        <v>378</v>
      </c>
      <c r="D211" s="8" t="s">
        <v>16</v>
      </c>
      <c r="E211" s="8" t="s">
        <v>8</v>
      </c>
      <c r="F211" s="62">
        <v>19384</v>
      </c>
      <c r="G211" s="77"/>
      <c r="H211" s="62">
        <f t="shared" si="11"/>
        <v>19384</v>
      </c>
      <c r="I211" s="100"/>
      <c r="J211" s="107"/>
      <c r="K211" s="16"/>
      <c r="L211" s="16"/>
      <c r="M211" s="16"/>
      <c r="N211" s="16"/>
      <c r="O211" s="16"/>
      <c r="P211" s="16"/>
    </row>
    <row r="212" spans="1:16" ht="12">
      <c r="A212" s="29">
        <v>205</v>
      </c>
      <c r="B212" s="1" t="s">
        <v>379</v>
      </c>
      <c r="C212" s="8" t="s">
        <v>380</v>
      </c>
      <c r="D212" s="8" t="s">
        <v>16</v>
      </c>
      <c r="E212" s="8" t="s">
        <v>8</v>
      </c>
      <c r="F212" s="62">
        <v>45532</v>
      </c>
      <c r="G212" s="77"/>
      <c r="H212" s="62">
        <f t="shared" si="11"/>
        <v>45532</v>
      </c>
      <c r="I212" s="100"/>
      <c r="J212" s="107"/>
      <c r="K212" s="16"/>
      <c r="L212" s="16"/>
      <c r="M212" s="16"/>
      <c r="N212" s="16"/>
      <c r="O212" s="16"/>
      <c r="P212" s="16"/>
    </row>
    <row r="213" spans="1:16" ht="22.5" customHeight="1">
      <c r="A213" s="29">
        <v>206</v>
      </c>
      <c r="B213" s="1" t="s">
        <v>381</v>
      </c>
      <c r="C213" s="26" t="s">
        <v>533</v>
      </c>
      <c r="D213" s="26" t="s">
        <v>16</v>
      </c>
      <c r="E213" s="26" t="s">
        <v>528</v>
      </c>
      <c r="F213" s="62">
        <v>38767</v>
      </c>
      <c r="G213" s="61" t="s">
        <v>659</v>
      </c>
      <c r="H213" s="62">
        <f t="shared" si="11"/>
        <v>38767</v>
      </c>
      <c r="I213" s="100">
        <f>14655</f>
        <v>14655</v>
      </c>
      <c r="J213" s="107"/>
      <c r="K213" s="16"/>
      <c r="L213" s="16"/>
      <c r="M213" s="16"/>
      <c r="N213" s="16"/>
      <c r="O213" s="16"/>
      <c r="P213" s="16"/>
    </row>
    <row r="214" spans="1:16" ht="24">
      <c r="A214" s="29">
        <v>207</v>
      </c>
      <c r="B214" s="1" t="s">
        <v>382</v>
      </c>
      <c r="C214" s="8" t="s">
        <v>383</v>
      </c>
      <c r="D214" s="8" t="s">
        <v>16</v>
      </c>
      <c r="E214" s="8" t="s">
        <v>8</v>
      </c>
      <c r="F214" s="62">
        <v>177586</v>
      </c>
      <c r="G214" s="77"/>
      <c r="H214" s="62">
        <f t="shared" si="11"/>
        <v>177586</v>
      </c>
      <c r="I214" s="108"/>
      <c r="J214" s="95"/>
      <c r="K214" s="16"/>
      <c r="L214" s="16"/>
      <c r="M214" s="16"/>
      <c r="N214" s="16"/>
      <c r="O214" s="16"/>
      <c r="P214" s="16"/>
    </row>
    <row r="215" spans="1:16" ht="24">
      <c r="A215" s="29">
        <v>208</v>
      </c>
      <c r="B215" s="1" t="s">
        <v>384</v>
      </c>
      <c r="C215" s="8" t="s">
        <v>385</v>
      </c>
      <c r="D215" s="8" t="s">
        <v>16</v>
      </c>
      <c r="E215" s="8" t="s">
        <v>8</v>
      </c>
      <c r="F215" s="62">
        <v>109627</v>
      </c>
      <c r="G215" s="77"/>
      <c r="H215" s="62">
        <f t="shared" si="11"/>
        <v>109627</v>
      </c>
      <c r="I215" s="62"/>
      <c r="J215" s="109"/>
      <c r="K215" s="9"/>
      <c r="L215" s="9"/>
      <c r="M215" s="9"/>
      <c r="N215" s="9"/>
      <c r="O215" s="9"/>
      <c r="P215" s="9"/>
    </row>
    <row r="216" spans="1:16" ht="12">
      <c r="A216" s="29">
        <v>209</v>
      </c>
      <c r="B216" s="1" t="s">
        <v>386</v>
      </c>
      <c r="C216" s="8" t="s">
        <v>387</v>
      </c>
      <c r="D216" s="8" t="s">
        <v>16</v>
      </c>
      <c r="E216" s="8" t="s">
        <v>8</v>
      </c>
      <c r="F216" s="62">
        <v>229897</v>
      </c>
      <c r="G216" s="77"/>
      <c r="H216" s="62">
        <f t="shared" si="11"/>
        <v>229897</v>
      </c>
      <c r="I216" s="62"/>
      <c r="J216" s="62"/>
      <c r="K216" s="9"/>
      <c r="L216" s="9"/>
      <c r="M216" s="9"/>
      <c r="N216" s="9"/>
      <c r="O216" s="9"/>
      <c r="P216" s="9"/>
    </row>
    <row r="217" spans="1:16" ht="24">
      <c r="A217" s="29">
        <v>210</v>
      </c>
      <c r="B217" s="1" t="s">
        <v>388</v>
      </c>
      <c r="C217" s="8" t="s">
        <v>389</v>
      </c>
      <c r="D217" s="8" t="s">
        <v>16</v>
      </c>
      <c r="E217" s="8" t="s">
        <v>8</v>
      </c>
      <c r="F217" s="62">
        <v>131225</v>
      </c>
      <c r="G217" s="77"/>
      <c r="H217" s="62">
        <f t="shared" si="11"/>
        <v>131225</v>
      </c>
      <c r="I217" s="62"/>
      <c r="J217" s="62"/>
      <c r="K217" s="9"/>
      <c r="L217" s="9"/>
      <c r="M217" s="9"/>
      <c r="N217" s="9"/>
      <c r="O217" s="9"/>
      <c r="P217" s="9"/>
    </row>
    <row r="218" spans="1:16" ht="24">
      <c r="A218" s="29">
        <v>211</v>
      </c>
      <c r="B218" s="1" t="s">
        <v>390</v>
      </c>
      <c r="C218" s="8" t="s">
        <v>391</v>
      </c>
      <c r="D218" s="8" t="s">
        <v>16</v>
      </c>
      <c r="E218" s="8" t="s">
        <v>8</v>
      </c>
      <c r="F218" s="62">
        <v>29075</v>
      </c>
      <c r="G218" s="77"/>
      <c r="H218" s="62">
        <f t="shared" si="11"/>
        <v>29075</v>
      </c>
      <c r="I218" s="62"/>
      <c r="J218" s="110"/>
      <c r="K218" s="9"/>
      <c r="L218" s="9"/>
      <c r="M218" s="9"/>
      <c r="N218" s="9"/>
      <c r="O218" s="9"/>
      <c r="P218" s="9"/>
    </row>
    <row r="219" spans="1:10" ht="12">
      <c r="A219" s="29">
        <v>212</v>
      </c>
      <c r="B219" s="1" t="s">
        <v>392</v>
      </c>
      <c r="C219" s="116" t="s">
        <v>393</v>
      </c>
      <c r="D219" s="8" t="s">
        <v>16</v>
      </c>
      <c r="E219" s="8" t="s">
        <v>8</v>
      </c>
      <c r="F219" s="62">
        <v>131471</v>
      </c>
      <c r="G219" s="77"/>
      <c r="H219" s="62">
        <f t="shared" si="11"/>
        <v>131471</v>
      </c>
      <c r="I219" s="62"/>
      <c r="J219" s="62"/>
    </row>
    <row r="220" spans="1:10" ht="12">
      <c r="A220" s="29">
        <v>213</v>
      </c>
      <c r="B220" s="1" t="s">
        <v>394</v>
      </c>
      <c r="C220" s="8" t="s">
        <v>395</v>
      </c>
      <c r="D220" s="8" t="s">
        <v>16</v>
      </c>
      <c r="E220" s="8" t="s">
        <v>8</v>
      </c>
      <c r="F220" s="62">
        <v>1305468</v>
      </c>
      <c r="G220" s="77"/>
      <c r="H220" s="62">
        <f t="shared" si="11"/>
        <v>1305468</v>
      </c>
      <c r="I220" s="62"/>
      <c r="J220" s="62"/>
    </row>
    <row r="221" spans="1:10" ht="24">
      <c r="A221" s="29">
        <v>214</v>
      </c>
      <c r="B221" s="1" t="s">
        <v>396</v>
      </c>
      <c r="C221" s="8" t="s">
        <v>397</v>
      </c>
      <c r="D221" s="8" t="s">
        <v>16</v>
      </c>
      <c r="E221" s="8" t="s">
        <v>8</v>
      </c>
      <c r="F221" s="62">
        <v>2452898</v>
      </c>
      <c r="G221" s="77"/>
      <c r="H221" s="62">
        <f t="shared" si="11"/>
        <v>2452898</v>
      </c>
      <c r="I221" s="62"/>
      <c r="J221" s="62"/>
    </row>
    <row r="222" spans="1:10" ht="24">
      <c r="A222" s="29">
        <v>215</v>
      </c>
      <c r="B222" s="1" t="s">
        <v>398</v>
      </c>
      <c r="C222" s="8" t="s">
        <v>399</v>
      </c>
      <c r="D222" s="8" t="s">
        <v>16</v>
      </c>
      <c r="E222" s="8" t="s">
        <v>8</v>
      </c>
      <c r="F222" s="62">
        <v>346032</v>
      </c>
      <c r="G222" s="77"/>
      <c r="H222" s="62">
        <f t="shared" si="11"/>
        <v>346032</v>
      </c>
      <c r="I222" s="62"/>
      <c r="J222" s="62"/>
    </row>
    <row r="223" spans="1:10" ht="24">
      <c r="A223" s="29">
        <v>216</v>
      </c>
      <c r="B223" s="1" t="s">
        <v>400</v>
      </c>
      <c r="C223" s="8" t="s">
        <v>401</v>
      </c>
      <c r="D223" s="8" t="s">
        <v>16</v>
      </c>
      <c r="E223" s="8" t="s">
        <v>8</v>
      </c>
      <c r="F223" s="62">
        <v>369940</v>
      </c>
      <c r="G223" s="77"/>
      <c r="H223" s="62">
        <f t="shared" si="11"/>
        <v>369940</v>
      </c>
      <c r="I223" s="62"/>
      <c r="J223" s="62"/>
    </row>
    <row r="224" spans="1:10" ht="24">
      <c r="A224" s="29">
        <v>217</v>
      </c>
      <c r="B224" s="1" t="s">
        <v>402</v>
      </c>
      <c r="C224" s="8" t="s">
        <v>403</v>
      </c>
      <c r="D224" s="8" t="s">
        <v>16</v>
      </c>
      <c r="E224" s="8" t="s">
        <v>8</v>
      </c>
      <c r="F224" s="62">
        <v>119753</v>
      </c>
      <c r="G224" s="77"/>
      <c r="H224" s="62">
        <f t="shared" si="11"/>
        <v>119753</v>
      </c>
      <c r="I224" s="62"/>
      <c r="J224" s="62"/>
    </row>
    <row r="225" spans="1:10" ht="12">
      <c r="A225" s="29">
        <v>218</v>
      </c>
      <c r="B225" s="1" t="s">
        <v>404</v>
      </c>
      <c r="C225" s="8" t="s">
        <v>405</v>
      </c>
      <c r="D225" s="8" t="s">
        <v>16</v>
      </c>
      <c r="E225" s="8" t="s">
        <v>8</v>
      </c>
      <c r="F225" s="62">
        <v>15996606</v>
      </c>
      <c r="G225" s="77"/>
      <c r="H225" s="62">
        <f t="shared" si="11"/>
        <v>15996606</v>
      </c>
      <c r="I225" s="62"/>
      <c r="J225" s="62"/>
    </row>
    <row r="226" spans="1:10" ht="24">
      <c r="A226" s="29">
        <v>219</v>
      </c>
      <c r="B226" s="1" t="s">
        <v>406</v>
      </c>
      <c r="C226" s="8" t="s">
        <v>407</v>
      </c>
      <c r="D226" s="8" t="s">
        <v>16</v>
      </c>
      <c r="E226" s="8" t="s">
        <v>8</v>
      </c>
      <c r="F226" s="62">
        <v>2121007</v>
      </c>
      <c r="G226" s="77"/>
      <c r="H226" s="62">
        <f t="shared" si="11"/>
        <v>2121007</v>
      </c>
      <c r="I226" s="62"/>
      <c r="J226" s="62"/>
    </row>
    <row r="227" spans="1:10" ht="24">
      <c r="A227" s="29">
        <v>220</v>
      </c>
      <c r="B227" s="1" t="s">
        <v>408</v>
      </c>
      <c r="C227" s="8" t="s">
        <v>409</v>
      </c>
      <c r="D227" s="8" t="s">
        <v>16</v>
      </c>
      <c r="E227" s="8" t="s">
        <v>8</v>
      </c>
      <c r="F227" s="62">
        <v>664390</v>
      </c>
      <c r="G227" s="77"/>
      <c r="H227" s="62">
        <f t="shared" si="11"/>
        <v>664390</v>
      </c>
      <c r="I227" s="62"/>
      <c r="J227" s="62"/>
    </row>
    <row r="228" spans="1:10" ht="24">
      <c r="A228" s="29">
        <v>221</v>
      </c>
      <c r="B228" s="1" t="s">
        <v>410</v>
      </c>
      <c r="C228" s="8" t="s">
        <v>411</v>
      </c>
      <c r="D228" s="8" t="s">
        <v>16</v>
      </c>
      <c r="E228" s="8" t="s">
        <v>8</v>
      </c>
      <c r="F228" s="62">
        <v>104592</v>
      </c>
      <c r="G228" s="77"/>
      <c r="H228" s="62">
        <f t="shared" si="11"/>
        <v>104592</v>
      </c>
      <c r="I228" s="62"/>
      <c r="J228" s="62"/>
    </row>
    <row r="229" spans="1:10" ht="12">
      <c r="A229" s="29">
        <v>222</v>
      </c>
      <c r="B229" s="1" t="s">
        <v>412</v>
      </c>
      <c r="C229" s="8" t="s">
        <v>413</v>
      </c>
      <c r="D229" s="8" t="s">
        <v>16</v>
      </c>
      <c r="E229" s="8" t="s">
        <v>136</v>
      </c>
      <c r="F229" s="62">
        <v>0</v>
      </c>
      <c r="G229" s="63" t="s">
        <v>609</v>
      </c>
      <c r="H229" s="62">
        <f t="shared" si="11"/>
        <v>0</v>
      </c>
      <c r="I229" s="62"/>
      <c r="J229" s="62">
        <f>67900+8200</f>
        <v>76100</v>
      </c>
    </row>
    <row r="230" spans="1:10" ht="12">
      <c r="A230" s="29">
        <v>223</v>
      </c>
      <c r="B230" s="1" t="s">
        <v>414</v>
      </c>
      <c r="C230" s="8" t="s">
        <v>415</v>
      </c>
      <c r="D230" s="8" t="s">
        <v>16</v>
      </c>
      <c r="E230" s="8" t="s">
        <v>136</v>
      </c>
      <c r="F230" s="62">
        <v>0</v>
      </c>
      <c r="G230" s="63" t="s">
        <v>653</v>
      </c>
      <c r="H230" s="62">
        <f t="shared" si="11"/>
        <v>0</v>
      </c>
      <c r="I230" s="62"/>
      <c r="J230" s="62">
        <f>60850+7050</f>
        <v>67900</v>
      </c>
    </row>
    <row r="231" spans="1:10" ht="12">
      <c r="A231" s="29">
        <v>224</v>
      </c>
      <c r="B231" s="1" t="s">
        <v>416</v>
      </c>
      <c r="C231" s="8" t="s">
        <v>417</v>
      </c>
      <c r="D231" s="8" t="s">
        <v>16</v>
      </c>
      <c r="E231" s="8" t="s">
        <v>8</v>
      </c>
      <c r="F231" s="62">
        <v>639781</v>
      </c>
      <c r="G231" s="77"/>
      <c r="H231" s="62">
        <f t="shared" si="11"/>
        <v>639781</v>
      </c>
      <c r="I231" s="62"/>
      <c r="J231" s="62"/>
    </row>
    <row r="232" spans="1:10" ht="12">
      <c r="A232" s="29">
        <v>225</v>
      </c>
      <c r="B232" s="1" t="s">
        <v>418</v>
      </c>
      <c r="C232" s="8" t="s">
        <v>419</v>
      </c>
      <c r="D232" s="8" t="s">
        <v>16</v>
      </c>
      <c r="E232" s="8" t="s">
        <v>8</v>
      </c>
      <c r="F232" s="62">
        <v>746201</v>
      </c>
      <c r="G232" s="77"/>
      <c r="H232" s="62">
        <f t="shared" si="11"/>
        <v>746201</v>
      </c>
      <c r="I232" s="62"/>
      <c r="J232" s="62"/>
    </row>
    <row r="233" spans="1:10" ht="12">
      <c r="A233" s="29">
        <v>226</v>
      </c>
      <c r="B233" s="1" t="s">
        <v>420</v>
      </c>
      <c r="C233" s="8" t="s">
        <v>421</v>
      </c>
      <c r="D233" s="8" t="s">
        <v>16</v>
      </c>
      <c r="E233" s="8" t="s">
        <v>136</v>
      </c>
      <c r="F233" s="62">
        <v>0</v>
      </c>
      <c r="G233" s="63" t="s">
        <v>608</v>
      </c>
      <c r="H233" s="62">
        <f t="shared" si="11"/>
        <v>0</v>
      </c>
      <c r="I233" s="62"/>
      <c r="J233" s="62">
        <f>91150+9450</f>
        <v>100600</v>
      </c>
    </row>
    <row r="234" spans="1:10" ht="12">
      <c r="A234" s="29">
        <v>227</v>
      </c>
      <c r="B234" s="1" t="s">
        <v>422</v>
      </c>
      <c r="C234" s="8" t="s">
        <v>423</v>
      </c>
      <c r="D234" s="8" t="s">
        <v>16</v>
      </c>
      <c r="E234" s="8" t="s">
        <v>8</v>
      </c>
      <c r="F234" s="62">
        <v>109033</v>
      </c>
      <c r="G234" s="77"/>
      <c r="H234" s="62">
        <f t="shared" si="11"/>
        <v>109033</v>
      </c>
      <c r="I234" s="62"/>
      <c r="J234" s="62"/>
    </row>
    <row r="235" spans="1:10" ht="12">
      <c r="A235" s="29">
        <v>228</v>
      </c>
      <c r="B235" s="1" t="s">
        <v>424</v>
      </c>
      <c r="C235" s="8" t="s">
        <v>425</v>
      </c>
      <c r="D235" s="8" t="s">
        <v>16</v>
      </c>
      <c r="E235" s="8" t="s">
        <v>8</v>
      </c>
      <c r="F235" s="62">
        <v>284820</v>
      </c>
      <c r="G235" s="77"/>
      <c r="H235" s="62">
        <f t="shared" si="11"/>
        <v>284820</v>
      </c>
      <c r="I235" s="62"/>
      <c r="J235" s="62"/>
    </row>
    <row r="236" spans="1:10" ht="24">
      <c r="A236" s="29">
        <v>229</v>
      </c>
      <c r="B236" s="1" t="s">
        <v>426</v>
      </c>
      <c r="C236" s="26" t="s">
        <v>427</v>
      </c>
      <c r="D236" s="26" t="s">
        <v>16</v>
      </c>
      <c r="E236" s="26" t="s">
        <v>521</v>
      </c>
      <c r="F236" s="62">
        <v>31014</v>
      </c>
      <c r="G236" s="61" t="s">
        <v>621</v>
      </c>
      <c r="H236" s="62">
        <f>F236+160044</f>
        <v>191058</v>
      </c>
      <c r="I236" s="62"/>
      <c r="J236" s="62"/>
    </row>
    <row r="237" spans="1:10" ht="24">
      <c r="A237" s="29">
        <v>230</v>
      </c>
      <c r="B237" s="1" t="s">
        <v>428</v>
      </c>
      <c r="C237" s="26" t="s">
        <v>429</v>
      </c>
      <c r="D237" s="26" t="s">
        <v>16</v>
      </c>
      <c r="E237" s="26" t="s">
        <v>430</v>
      </c>
      <c r="F237" s="62">
        <v>0</v>
      </c>
      <c r="G237" s="61" t="s">
        <v>620</v>
      </c>
      <c r="H237" s="62">
        <f>F237+17460</f>
        <v>17460</v>
      </c>
      <c r="I237" s="62"/>
      <c r="J237" s="62"/>
    </row>
    <row r="238" spans="1:10" ht="12">
      <c r="A238" s="29">
        <v>231</v>
      </c>
      <c r="B238" s="1" t="s">
        <v>431</v>
      </c>
      <c r="C238" s="26" t="s">
        <v>432</v>
      </c>
      <c r="D238" s="26" t="s">
        <v>16</v>
      </c>
      <c r="E238" s="26" t="s">
        <v>8</v>
      </c>
      <c r="F238" s="62">
        <v>29075</v>
      </c>
      <c r="G238" s="77"/>
      <c r="H238" s="62">
        <f>F238</f>
        <v>29075</v>
      </c>
      <c r="I238" s="62"/>
      <c r="J238" s="62"/>
    </row>
    <row r="239" spans="1:10" ht="12">
      <c r="A239" s="29">
        <v>232</v>
      </c>
      <c r="B239" s="1" t="s">
        <v>433</v>
      </c>
      <c r="C239" s="26" t="s">
        <v>434</v>
      </c>
      <c r="D239" s="26" t="s">
        <v>16</v>
      </c>
      <c r="E239" s="26" t="s">
        <v>8</v>
      </c>
      <c r="F239" s="62">
        <v>4846</v>
      </c>
      <c r="G239" s="77"/>
      <c r="H239" s="62">
        <f>F239</f>
        <v>4846</v>
      </c>
      <c r="I239" s="62"/>
      <c r="J239" s="62"/>
    </row>
    <row r="240" spans="1:10" ht="24">
      <c r="A240" s="29">
        <v>233</v>
      </c>
      <c r="B240" s="1" t="s">
        <v>435</v>
      </c>
      <c r="C240" s="26" t="s">
        <v>436</v>
      </c>
      <c r="D240" s="26" t="s">
        <v>16</v>
      </c>
      <c r="E240" s="26" t="s">
        <v>521</v>
      </c>
      <c r="F240" s="62">
        <v>1497395</v>
      </c>
      <c r="G240" s="61" t="s">
        <v>619</v>
      </c>
      <c r="H240" s="62">
        <f>F240+43729</f>
        <v>1541124</v>
      </c>
      <c r="I240" s="62"/>
      <c r="J240" s="62"/>
    </row>
    <row r="241" spans="1:10" ht="24">
      <c r="A241" s="29">
        <v>234</v>
      </c>
      <c r="B241" s="1" t="s">
        <v>437</v>
      </c>
      <c r="C241" s="26" t="s">
        <v>438</v>
      </c>
      <c r="D241" s="26" t="s">
        <v>16</v>
      </c>
      <c r="E241" s="26" t="s">
        <v>8</v>
      </c>
      <c r="F241" s="62">
        <v>102733</v>
      </c>
      <c r="G241" s="77"/>
      <c r="H241" s="62">
        <f>F241</f>
        <v>102733</v>
      </c>
      <c r="I241" s="62"/>
      <c r="J241" s="62"/>
    </row>
    <row r="242" spans="1:10" ht="24">
      <c r="A242" s="29">
        <v>235</v>
      </c>
      <c r="B242" s="1" t="s">
        <v>439</v>
      </c>
      <c r="C242" s="26" t="s">
        <v>440</v>
      </c>
      <c r="D242" s="26" t="s">
        <v>16</v>
      </c>
      <c r="E242" s="26" t="s">
        <v>8</v>
      </c>
      <c r="F242" s="62">
        <v>213188</v>
      </c>
      <c r="G242" s="77"/>
      <c r="H242" s="62">
        <f>F242</f>
        <v>213188</v>
      </c>
      <c r="I242" s="62"/>
      <c r="J242" s="62"/>
    </row>
    <row r="243" spans="1:10" ht="25.5" customHeight="1">
      <c r="A243" s="29">
        <v>236</v>
      </c>
      <c r="B243" s="1" t="s">
        <v>441</v>
      </c>
      <c r="C243" s="26" t="s">
        <v>442</v>
      </c>
      <c r="D243" s="26" t="s">
        <v>16</v>
      </c>
      <c r="E243" s="26" t="s">
        <v>8</v>
      </c>
      <c r="F243" s="62">
        <v>160638</v>
      </c>
      <c r="G243" s="77"/>
      <c r="H243" s="62">
        <f>F243</f>
        <v>160638</v>
      </c>
      <c r="I243" s="62"/>
      <c r="J243" s="62"/>
    </row>
    <row r="244" spans="1:10" ht="12" customHeight="1">
      <c r="A244" s="29">
        <v>237</v>
      </c>
      <c r="B244" s="1" t="s">
        <v>443</v>
      </c>
      <c r="C244" s="26" t="s">
        <v>444</v>
      </c>
      <c r="D244" s="26" t="s">
        <v>16</v>
      </c>
      <c r="E244" s="26" t="s">
        <v>8</v>
      </c>
      <c r="F244" s="62">
        <v>5815</v>
      </c>
      <c r="G244" s="77"/>
      <c r="H244" s="62">
        <f>F244</f>
        <v>5815</v>
      </c>
      <c r="I244" s="62"/>
      <c r="J244" s="62"/>
    </row>
    <row r="245" spans="1:10" ht="12" customHeight="1">
      <c r="A245" s="29">
        <v>238</v>
      </c>
      <c r="B245" s="1" t="s">
        <v>445</v>
      </c>
      <c r="C245" s="26" t="s">
        <v>446</v>
      </c>
      <c r="D245" s="26" t="s">
        <v>16</v>
      </c>
      <c r="E245" s="26" t="s">
        <v>521</v>
      </c>
      <c r="F245" s="62">
        <v>63966</v>
      </c>
      <c r="G245" s="61" t="s">
        <v>610</v>
      </c>
      <c r="H245" s="62">
        <f>F245+61796</f>
        <v>125762</v>
      </c>
      <c r="I245" s="62"/>
      <c r="J245" s="62"/>
    </row>
    <row r="246" spans="1:10" ht="36" customHeight="1">
      <c r="A246" s="29">
        <v>239</v>
      </c>
      <c r="B246" s="45" t="s">
        <v>604</v>
      </c>
      <c r="C246" s="46" t="s">
        <v>605</v>
      </c>
      <c r="D246" s="12" t="s">
        <v>497</v>
      </c>
      <c r="E246" s="12" t="s">
        <v>660</v>
      </c>
      <c r="F246" s="68">
        <v>0</v>
      </c>
      <c r="G246" s="111" t="s">
        <v>665</v>
      </c>
      <c r="H246" s="70">
        <f>F246+190000</f>
        <v>190000</v>
      </c>
      <c r="I246" s="46"/>
      <c r="J246" s="46"/>
    </row>
    <row r="247" spans="1:10" ht="12">
      <c r="A247" s="29">
        <v>240</v>
      </c>
      <c r="B247" s="1" t="s">
        <v>447</v>
      </c>
      <c r="C247" s="8" t="s">
        <v>448</v>
      </c>
      <c r="D247" s="8" t="s">
        <v>16</v>
      </c>
      <c r="E247" s="8" t="s">
        <v>8</v>
      </c>
      <c r="F247" s="62">
        <v>1518110</v>
      </c>
      <c r="G247" s="77"/>
      <c r="H247" s="62">
        <f aca="true" t="shared" si="12" ref="H247:H265">F247</f>
        <v>1518110</v>
      </c>
      <c r="I247" s="62"/>
      <c r="J247" s="62"/>
    </row>
    <row r="248" spans="1:10" ht="12">
      <c r="A248" s="29">
        <v>241</v>
      </c>
      <c r="B248" s="1" t="s">
        <v>449</v>
      </c>
      <c r="C248" s="8" t="s">
        <v>450</v>
      </c>
      <c r="D248" s="8" t="s">
        <v>16</v>
      </c>
      <c r="E248" s="8" t="s">
        <v>8</v>
      </c>
      <c r="F248" s="62">
        <v>1038221</v>
      </c>
      <c r="G248" s="77"/>
      <c r="H248" s="62">
        <f t="shared" si="12"/>
        <v>1038221</v>
      </c>
      <c r="I248" s="62"/>
      <c r="J248" s="62"/>
    </row>
    <row r="249" spans="1:10" ht="24">
      <c r="A249" s="29">
        <v>242</v>
      </c>
      <c r="B249" s="1" t="s">
        <v>451</v>
      </c>
      <c r="C249" s="8" t="s">
        <v>452</v>
      </c>
      <c r="D249" s="8" t="s">
        <v>16</v>
      </c>
      <c r="E249" s="8" t="s">
        <v>8</v>
      </c>
      <c r="F249" s="62">
        <v>1252106</v>
      </c>
      <c r="G249" s="77"/>
      <c r="H249" s="62">
        <f t="shared" si="12"/>
        <v>1252106</v>
      </c>
      <c r="I249" s="62"/>
      <c r="J249" s="62"/>
    </row>
    <row r="250" spans="1:10" ht="12">
      <c r="A250" s="29">
        <v>243</v>
      </c>
      <c r="B250" s="1" t="s">
        <v>453</v>
      </c>
      <c r="C250" s="8" t="s">
        <v>454</v>
      </c>
      <c r="D250" s="8" t="s">
        <v>16</v>
      </c>
      <c r="E250" s="8" t="s">
        <v>8</v>
      </c>
      <c r="F250" s="62">
        <v>1829028</v>
      </c>
      <c r="G250" s="77"/>
      <c r="H250" s="62">
        <f t="shared" si="12"/>
        <v>1829028</v>
      </c>
      <c r="I250" s="62"/>
      <c r="J250" s="62"/>
    </row>
    <row r="251" spans="1:10" ht="24">
      <c r="A251" s="29">
        <v>244</v>
      </c>
      <c r="B251" s="1" t="s">
        <v>455</v>
      </c>
      <c r="C251" s="8" t="s">
        <v>456</v>
      </c>
      <c r="D251" s="8" t="s">
        <v>16</v>
      </c>
      <c r="E251" s="8" t="s">
        <v>8</v>
      </c>
      <c r="F251" s="62">
        <v>208043</v>
      </c>
      <c r="G251" s="77"/>
      <c r="H251" s="62">
        <f t="shared" si="12"/>
        <v>208043</v>
      </c>
      <c r="I251" s="62"/>
      <c r="J251" s="62"/>
    </row>
    <row r="252" spans="1:10" ht="24">
      <c r="A252" s="29">
        <v>245</v>
      </c>
      <c r="B252" s="1" t="s">
        <v>457</v>
      </c>
      <c r="C252" s="8" t="s">
        <v>458</v>
      </c>
      <c r="D252" s="8" t="s">
        <v>16</v>
      </c>
      <c r="E252" s="8" t="s">
        <v>8</v>
      </c>
      <c r="F252" s="62">
        <v>154020</v>
      </c>
      <c r="G252" s="77"/>
      <c r="H252" s="62">
        <f t="shared" si="12"/>
        <v>154020</v>
      </c>
      <c r="I252" s="62"/>
      <c r="J252" s="62"/>
    </row>
    <row r="253" spans="1:10" ht="24">
      <c r="A253" s="29">
        <v>246</v>
      </c>
      <c r="B253" s="1" t="s">
        <v>459</v>
      </c>
      <c r="C253" s="8" t="s">
        <v>460</v>
      </c>
      <c r="D253" s="8" t="s">
        <v>16</v>
      </c>
      <c r="E253" s="8" t="s">
        <v>8</v>
      </c>
      <c r="F253" s="62">
        <v>403848</v>
      </c>
      <c r="G253" s="77"/>
      <c r="H253" s="62">
        <f t="shared" si="12"/>
        <v>403848</v>
      </c>
      <c r="I253" s="62"/>
      <c r="J253" s="62"/>
    </row>
    <row r="254" spans="1:10" ht="24">
      <c r="A254" s="29">
        <v>247</v>
      </c>
      <c r="B254" s="1" t="s">
        <v>461</v>
      </c>
      <c r="C254" s="8" t="s">
        <v>462</v>
      </c>
      <c r="D254" s="8" t="s">
        <v>16</v>
      </c>
      <c r="E254" s="8" t="s">
        <v>8</v>
      </c>
      <c r="F254" s="62">
        <v>1769649</v>
      </c>
      <c r="G254" s="77"/>
      <c r="H254" s="62">
        <f t="shared" si="12"/>
        <v>1769649</v>
      </c>
      <c r="I254" s="62"/>
      <c r="J254" s="62"/>
    </row>
    <row r="255" spans="1:10" ht="15.75" customHeight="1">
      <c r="A255" s="29">
        <v>248</v>
      </c>
      <c r="B255" s="1" t="s">
        <v>463</v>
      </c>
      <c r="C255" s="8" t="s">
        <v>464</v>
      </c>
      <c r="D255" s="8" t="s">
        <v>16</v>
      </c>
      <c r="E255" s="8" t="s">
        <v>8</v>
      </c>
      <c r="F255" s="62">
        <v>894274</v>
      </c>
      <c r="G255" s="77"/>
      <c r="H255" s="62">
        <f t="shared" si="12"/>
        <v>894274</v>
      </c>
      <c r="I255" s="62"/>
      <c r="J255" s="62"/>
    </row>
    <row r="256" spans="1:10" ht="25.5" customHeight="1">
      <c r="A256" s="29">
        <v>249</v>
      </c>
      <c r="B256" s="1" t="s">
        <v>465</v>
      </c>
      <c r="C256" s="8" t="s">
        <v>466</v>
      </c>
      <c r="D256" s="8" t="s">
        <v>16</v>
      </c>
      <c r="E256" s="8" t="s">
        <v>8</v>
      </c>
      <c r="F256" s="62">
        <v>1051931</v>
      </c>
      <c r="G256" s="77"/>
      <c r="H256" s="62">
        <f t="shared" si="12"/>
        <v>1051931</v>
      </c>
      <c r="I256" s="62"/>
      <c r="J256" s="62"/>
    </row>
    <row r="257" spans="1:10" ht="24">
      <c r="A257" s="29">
        <v>250</v>
      </c>
      <c r="B257" s="32" t="s">
        <v>606</v>
      </c>
      <c r="C257" s="33" t="s">
        <v>607</v>
      </c>
      <c r="D257" s="31" t="s">
        <v>585</v>
      </c>
      <c r="E257" s="33" t="s">
        <v>8</v>
      </c>
      <c r="F257" s="91">
        <v>78503</v>
      </c>
      <c r="G257" s="31"/>
      <c r="H257" s="78">
        <f>F257</f>
        <v>78503</v>
      </c>
      <c r="I257" s="78"/>
      <c r="J257" s="78"/>
    </row>
    <row r="258" spans="1:10" ht="24">
      <c r="A258" s="29">
        <v>251</v>
      </c>
      <c r="B258" s="1" t="s">
        <v>467</v>
      </c>
      <c r="C258" s="8" t="s">
        <v>468</v>
      </c>
      <c r="D258" s="8" t="s">
        <v>16</v>
      </c>
      <c r="E258" s="8" t="s">
        <v>8</v>
      </c>
      <c r="F258" s="62">
        <v>147315</v>
      </c>
      <c r="G258" s="77"/>
      <c r="H258" s="62">
        <f t="shared" si="12"/>
        <v>147315</v>
      </c>
      <c r="I258" s="62"/>
      <c r="J258" s="62"/>
    </row>
    <row r="259" spans="1:10" ht="24">
      <c r="A259" s="29">
        <v>252</v>
      </c>
      <c r="B259" s="1" t="s">
        <v>469</v>
      </c>
      <c r="C259" s="26" t="s">
        <v>470</v>
      </c>
      <c r="D259" s="26" t="s">
        <v>16</v>
      </c>
      <c r="E259" s="26" t="s">
        <v>527</v>
      </c>
      <c r="F259" s="62">
        <v>17877</v>
      </c>
      <c r="G259" s="63" t="s">
        <v>512</v>
      </c>
      <c r="H259" s="62">
        <f>F259</f>
        <v>17877</v>
      </c>
      <c r="I259" s="62"/>
      <c r="J259" s="62">
        <f>600000+15000</f>
        <v>615000</v>
      </c>
    </row>
    <row r="260" spans="1:10" ht="24">
      <c r="A260" s="29">
        <v>253</v>
      </c>
      <c r="B260" s="1" t="s">
        <v>471</v>
      </c>
      <c r="C260" s="8" t="s">
        <v>472</v>
      </c>
      <c r="D260" s="8" t="s">
        <v>16</v>
      </c>
      <c r="E260" s="8" t="s">
        <v>8</v>
      </c>
      <c r="F260" s="62">
        <v>328799</v>
      </c>
      <c r="G260" s="60"/>
      <c r="H260" s="62">
        <f t="shared" si="12"/>
        <v>328799</v>
      </c>
      <c r="I260" s="59"/>
      <c r="J260" s="59"/>
    </row>
    <row r="261" spans="1:10" ht="12">
      <c r="A261" s="29">
        <v>254</v>
      </c>
      <c r="B261" s="1" t="s">
        <v>473</v>
      </c>
      <c r="C261" s="8" t="s">
        <v>474</v>
      </c>
      <c r="D261" s="8" t="s">
        <v>16</v>
      </c>
      <c r="E261" s="8" t="s">
        <v>8</v>
      </c>
      <c r="F261" s="62">
        <v>342240</v>
      </c>
      <c r="G261" s="60"/>
      <c r="H261" s="62">
        <f t="shared" si="12"/>
        <v>342240</v>
      </c>
      <c r="I261" s="59"/>
      <c r="J261" s="59"/>
    </row>
    <row r="262" spans="1:10" ht="24">
      <c r="A262" s="29">
        <v>255</v>
      </c>
      <c r="B262" s="1" t="s">
        <v>475</v>
      </c>
      <c r="C262" s="8" t="s">
        <v>476</v>
      </c>
      <c r="D262" s="8" t="s">
        <v>16</v>
      </c>
      <c r="E262" s="8" t="s">
        <v>8</v>
      </c>
      <c r="F262" s="62">
        <v>410369</v>
      </c>
      <c r="G262" s="60"/>
      <c r="H262" s="62">
        <f t="shared" si="12"/>
        <v>410369</v>
      </c>
      <c r="I262" s="59"/>
      <c r="J262" s="59"/>
    </row>
    <row r="263" spans="1:10" ht="12">
      <c r="A263" s="29">
        <v>256</v>
      </c>
      <c r="B263" s="1" t="s">
        <v>477</v>
      </c>
      <c r="C263" s="8" t="s">
        <v>478</v>
      </c>
      <c r="D263" s="8" t="s">
        <v>16</v>
      </c>
      <c r="E263" s="8" t="s">
        <v>8</v>
      </c>
      <c r="F263" s="62">
        <v>1483786</v>
      </c>
      <c r="G263" s="60"/>
      <c r="H263" s="62">
        <f t="shared" si="12"/>
        <v>1483786</v>
      </c>
      <c r="I263" s="59"/>
      <c r="J263" s="59"/>
    </row>
    <row r="264" spans="1:10" ht="12">
      <c r="A264" s="29">
        <v>257</v>
      </c>
      <c r="B264" s="1" t="s">
        <v>479</v>
      </c>
      <c r="C264" s="8" t="s">
        <v>480</v>
      </c>
      <c r="D264" s="8" t="s">
        <v>16</v>
      </c>
      <c r="E264" s="8" t="s">
        <v>8</v>
      </c>
      <c r="F264" s="62">
        <v>263995</v>
      </c>
      <c r="G264" s="60"/>
      <c r="H264" s="62">
        <f t="shared" si="12"/>
        <v>263995</v>
      </c>
      <c r="I264" s="59"/>
      <c r="J264" s="59"/>
    </row>
    <row r="265" spans="1:10" ht="12">
      <c r="A265" s="29">
        <v>258</v>
      </c>
      <c r="B265" s="1" t="s">
        <v>481</v>
      </c>
      <c r="C265" s="8" t="s">
        <v>482</v>
      </c>
      <c r="D265" s="8" t="s">
        <v>16</v>
      </c>
      <c r="E265" s="8" t="s">
        <v>8</v>
      </c>
      <c r="F265" s="62">
        <v>124287</v>
      </c>
      <c r="G265" s="60"/>
      <c r="H265" s="62">
        <f t="shared" si="12"/>
        <v>124287</v>
      </c>
      <c r="I265" s="59"/>
      <c r="J265" s="59"/>
    </row>
    <row r="266" spans="2:10" ht="12">
      <c r="B266" s="16"/>
      <c r="C266" s="16"/>
      <c r="D266" s="16"/>
      <c r="E266" s="16"/>
      <c r="F266" s="18">
        <f>SUM(F8:F265)</f>
        <v>232381469</v>
      </c>
      <c r="G266" s="18">
        <f>H266-F266+I266+J266</f>
        <v>45037282</v>
      </c>
      <c r="H266" s="19">
        <f>SUM(H8:H265)</f>
        <v>273131223</v>
      </c>
      <c r="I266" s="19">
        <f>SUM(I8:I265)</f>
        <v>1341408</v>
      </c>
      <c r="J266" s="19">
        <f>SUM(J8:J265)</f>
        <v>2946120</v>
      </c>
    </row>
    <row r="267" spans="2:10" ht="12">
      <c r="B267" s="16"/>
      <c r="C267" s="16"/>
      <c r="D267" s="16"/>
      <c r="E267" s="16"/>
      <c r="F267" s="20" t="s">
        <v>483</v>
      </c>
      <c r="G267" s="40">
        <f>G266+F266</f>
        <v>277418751</v>
      </c>
      <c r="H267" s="16"/>
      <c r="I267" s="16"/>
      <c r="J267" s="16"/>
    </row>
    <row r="268" spans="2:10" ht="12">
      <c r="B268" s="21" t="s">
        <v>641</v>
      </c>
      <c r="C268" s="41"/>
      <c r="D268" s="41"/>
      <c r="E268" s="41"/>
      <c r="F268" s="22">
        <f>F78+F110+F125+F246</f>
        <v>38938</v>
      </c>
      <c r="G268" s="22"/>
      <c r="H268" s="22">
        <f>H78+H110+H125+H246</f>
        <v>5180524</v>
      </c>
      <c r="I268" s="21"/>
      <c r="J268" s="21"/>
    </row>
    <row r="269" spans="2:10" ht="12">
      <c r="B269" s="23" t="s">
        <v>642</v>
      </c>
      <c r="C269" s="42"/>
      <c r="D269" s="42"/>
      <c r="E269" s="42"/>
      <c r="F269" s="24">
        <f>F34+F48+F62+F69+F75+F76+F77+F94+F105+F133++F257</f>
        <v>19146507</v>
      </c>
      <c r="G269" s="24"/>
      <c r="H269" s="43">
        <f>H34+H48+H62+H69+H75+H76+H77+H94+H105+H133++H257</f>
        <v>19291507</v>
      </c>
      <c r="I269" s="23"/>
      <c r="J269" s="23"/>
    </row>
    <row r="271" spans="4:8" ht="12">
      <c r="D271" s="117" t="s">
        <v>515</v>
      </c>
      <c r="E271" s="117"/>
      <c r="F271" s="117"/>
      <c r="G271" s="117"/>
      <c r="H271" s="47"/>
    </row>
    <row r="272" spans="4:9" ht="12">
      <c r="D272" s="117" t="s">
        <v>10</v>
      </c>
      <c r="E272" s="118" t="s">
        <v>11</v>
      </c>
      <c r="F272" s="118"/>
      <c r="G272" s="119" t="s">
        <v>516</v>
      </c>
      <c r="H272" s="39"/>
      <c r="I272" s="39"/>
    </row>
    <row r="273" spans="4:9" ht="36">
      <c r="D273" s="117"/>
      <c r="E273" s="1" t="s">
        <v>12</v>
      </c>
      <c r="F273" s="1" t="s">
        <v>13</v>
      </c>
      <c r="G273" s="119"/>
      <c r="H273" s="47"/>
      <c r="I273" s="39"/>
    </row>
    <row r="274" spans="4:9" ht="12">
      <c r="D274" s="53">
        <v>273.131</v>
      </c>
      <c r="E274" s="53">
        <v>1.341</v>
      </c>
      <c r="F274" s="53">
        <v>2.946</v>
      </c>
      <c r="G274" s="53">
        <v>232.381</v>
      </c>
      <c r="H274" s="39"/>
      <c r="I274" s="39"/>
    </row>
    <row r="275" spans="4:7" ht="12">
      <c r="D275" s="49"/>
      <c r="E275" s="50"/>
      <c r="F275" s="51"/>
      <c r="G275" s="52"/>
    </row>
    <row r="276" spans="4:10" ht="12">
      <c r="D276" s="54"/>
      <c r="E276" s="54"/>
      <c r="F276" s="51"/>
      <c r="G276" s="52"/>
      <c r="H276" s="39"/>
      <c r="J276" s="39"/>
    </row>
    <row r="277" ht="12">
      <c r="J277" s="39"/>
    </row>
    <row r="278" spans="6:8" ht="13.5">
      <c r="F278" s="48"/>
      <c r="G278" s="55"/>
      <c r="H278" s="47"/>
    </row>
    <row r="279" spans="6:8" ht="13.5">
      <c r="F279" s="48"/>
      <c r="G279" s="55"/>
      <c r="H279" s="47"/>
    </row>
    <row r="281" ht="13.5">
      <c r="F281" s="48"/>
    </row>
  </sheetData>
  <sheetProtection selectLockedCells="1" selectUnlockedCells="1"/>
  <autoFilter ref="A7:J269"/>
  <mergeCells count="18">
    <mergeCell ref="H4:J4"/>
    <mergeCell ref="H5:H6"/>
    <mergeCell ref="I5:J5"/>
    <mergeCell ref="A2:J2"/>
    <mergeCell ref="A3:G3"/>
    <mergeCell ref="H3:J3"/>
    <mergeCell ref="A4:A6"/>
    <mergeCell ref="B4:B6"/>
    <mergeCell ref="C4:C6"/>
    <mergeCell ref="D4:D6"/>
    <mergeCell ref="D272:D273"/>
    <mergeCell ref="E272:F272"/>
    <mergeCell ref="G272:G273"/>
    <mergeCell ref="D271:G271"/>
    <mergeCell ref="F5:F6"/>
    <mergeCell ref="G5:G6"/>
    <mergeCell ref="E4:E6"/>
    <mergeCell ref="F4:G4"/>
  </mergeCells>
  <printOptions/>
  <pageMargins left="0.31496062992125984" right="0.11811023622047245" top="0.5511811023622047" bottom="0.35433070866141736" header="0.5118110236220472" footer="0.5118110236220472"/>
  <pageSetup fitToHeight="0" fitToWidth="1" horizontalDpi="600" verticalDpi="600" orientation="portrait" paperSize="9" scale="34" r:id="rId1"/>
  <ignoredErrors>
    <ignoredError sqref="F2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Strojek Klaudia</dc:creator>
  <cp:keywords/>
  <dc:description/>
  <cp:lastModifiedBy>Beata</cp:lastModifiedBy>
  <cp:lastPrinted>2020-03-18T11:24:25Z</cp:lastPrinted>
  <dcterms:created xsi:type="dcterms:W3CDTF">2017-04-05T07:35:16Z</dcterms:created>
  <dcterms:modified xsi:type="dcterms:W3CDTF">2022-04-22T08:13:51Z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Osoba">
    <vt:lpwstr>STAT\GUZIKZ</vt:lpwstr>
  </property>
  <property fmtid="{D5CDD505-2E9C-101B-9397-08002B2CF9AE}" pid="9" name="NazwaPliku">
    <vt:lpwstr>Załącznik do OSR (pkt 13 Koszty badań statystycznych w Pbssp na rok 2023).xls.xls</vt:lpwstr>
  </property>
</Properties>
</file>